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.macias\Downloads\"/>
    </mc:Choice>
  </mc:AlternateContent>
  <xr:revisionPtr revIDLastSave="0" documentId="8_{E5816D16-3069-43B0-8581-90823ECD9B70}" xr6:coauthVersionLast="45" xr6:coauthVersionMax="45" xr10:uidLastSave="{00000000-0000-0000-0000-000000000000}"/>
  <bookViews>
    <workbookView xWindow="20370" yWindow="-120" windowWidth="29040" windowHeight="15840" xr2:uid="{FEE58E77-97D1-4FAF-98FE-4CBE293C0A4F}"/>
  </bookViews>
  <sheets>
    <sheet name="Blueday" sheetId="1" r:id="rId1"/>
  </sheets>
  <definedNames>
    <definedName name="_xlnm._FilterDatabase" localSheetId="0" hidden="1">Blueday!$A$17:$D$619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</calcChain>
</file>

<file path=xl/sharedStrings.xml><?xml version="1.0" encoding="utf-8"?>
<sst xmlns="http://schemas.openxmlformats.org/spreadsheetml/2006/main" count="2413" uniqueCount="1307">
  <si>
    <t>Articulo</t>
  </si>
  <si>
    <t>Descripción</t>
  </si>
  <si>
    <t>Seccion</t>
  </si>
  <si>
    <t>Marca</t>
  </si>
  <si>
    <t>DD-453785-7</t>
  </si>
  <si>
    <t>UNIDAD SSD ADATA XPG SX950 240GB SATAIII 2.5" (ASX950SS-240GM-C)</t>
  </si>
  <si>
    <t>DD-383712-12</t>
  </si>
  <si>
    <t>DISCO DURO EXTERNO ADATA HV620S 4TB 3.1 BLANCO (AHV620S-4TU31-CWH)</t>
  </si>
  <si>
    <t>ME-1157520-3</t>
  </si>
  <si>
    <t>MEMORIA DDRII ADATA 1GB 667 MHz UDIMM (AD2U667B1G5-S)</t>
  </si>
  <si>
    <t>DD-453712-1</t>
  </si>
  <si>
    <t>UNIDAD SSD EXT. ADATA SE730 250GB USB3.1 DORADO(ASE730-250GU31-CGD)</t>
  </si>
  <si>
    <t>DD-453712-2</t>
  </si>
  <si>
    <t>UNIDAD SSD EXTERNO ADATA SE730 250GB USB 3.1 ROJO(ASE730-250GU31-CRD)</t>
  </si>
  <si>
    <t>AC-413773-1</t>
  </si>
  <si>
    <t>MOUSE GAMER ADATA XPG INFAREX M20</t>
  </si>
  <si>
    <t>ME-397520-2</t>
  </si>
  <si>
    <t>MEMORIA DDRII ADATA 1 GB 667MHz SODIMM (AD2S667B1G5-S)</t>
  </si>
  <si>
    <t>AC-366714-75</t>
  </si>
  <si>
    <t>CABLE BLACKPCS (CA-MAG TRIPLE) MAGNETICO 3 EN 1 PLATA 100 CM 2.1A  (CA</t>
  </si>
  <si>
    <t>AC-446778-3</t>
  </si>
  <si>
    <t>CONTROL TECLADO BLACKPCS BASIC AIR MOUSE QWERTY NEGRO  (EO40AQ-BL)</t>
  </si>
  <si>
    <t>AC-486712-19</t>
  </si>
  <si>
    <t>POWER BANK BLACKPCS SHIELD GRIS 15000 MAH LED (EPBGY11-15000)</t>
  </si>
  <si>
    <t>AC-486712-18</t>
  </si>
  <si>
    <t>POWER BANK BLACKPCS SHIELD NEGRO 15000 MAH LED (EPBBL11-15000)</t>
  </si>
  <si>
    <t>AC-366714-85</t>
  </si>
  <si>
    <t>CABLE BLACKPCS (CA-LATERAL) V8 GRIS 100 CM 2A  (CAGYMPL-2)</t>
  </si>
  <si>
    <t>ME-606772-61</t>
  </si>
  <si>
    <t>MEMORIA FLASH USB BLACKPCS 2105 32GB NEGRO TARJETA METALICA (MU2105BL-</t>
  </si>
  <si>
    <t>AC-366714-76</t>
  </si>
  <si>
    <t>CABLE BLACKPCS (CA-MAG TRIPLE) MAGNETICO 3 EN 1 NEGRO 100 CM 2.1A (CAB</t>
  </si>
  <si>
    <t>AC-366714-52</t>
  </si>
  <si>
    <t>CABLE BLACKPCS (CA-2M) V8 ORO 200 CM TEJIDO 2.1A (CAGMT2M-3)</t>
  </si>
  <si>
    <t>AC-566712-4</t>
  </si>
  <si>
    <t>CAR CHARGER BLACKPCS 3 PUERTOS USB CON ENTRADA ENCENDEDOR (EPI043-BL)</t>
  </si>
  <si>
    <t>AC-376772-2</t>
  </si>
  <si>
    <t>HOME CHARGER BLACKPCS  4 PUERTOS USB PARED BLANCO (ESH024-W(AC))</t>
  </si>
  <si>
    <t>AC-566712-17</t>
  </si>
  <si>
    <t>POWER BANK BLACKPCS BOCINA 10000 MAH NEGRO (EPBBL4-10000)</t>
  </si>
  <si>
    <t>AC-566712-12</t>
  </si>
  <si>
    <t>POWER BANK BLACKPCS ZEPELLING 5000 MAH BLANCO LED(EPBW7-5000)</t>
  </si>
  <si>
    <t>ME-403372-12</t>
  </si>
  <si>
    <t>MEMORIA FLASH KINGSTON 64 GB MICRODUO USB 3.0 (DTDUO3/64GB)</t>
  </si>
  <si>
    <t>ME-603372-20</t>
  </si>
  <si>
    <t>MEMORIA FLASH KINGSTON 64 GB USB 2.0 (DT104/64GB)</t>
  </si>
  <si>
    <t>DD-453385-3</t>
  </si>
  <si>
    <t>UNIDAD SSD KINGSTON 480GB HYPERX SAVAGE SATA III 2.5" SHSS37A/480G</t>
  </si>
  <si>
    <t>ME-423371-9</t>
  </si>
  <si>
    <t>MEMORIA DDR4 KINGSTON HYPERX FURY RED 16GB 2133MHZCL14(HX421C14FR/16)</t>
  </si>
  <si>
    <t>DD-20823507-01</t>
  </si>
  <si>
    <t>UNIDAD SSD KINGSTON 60GB SATA III 2.5" VERSION PLUS SVP200S3/60G</t>
  </si>
  <si>
    <t>ME-642372-8</t>
  </si>
  <si>
    <t>LECTOR DE MEMORIAS MICROSD KINGSTON USB 2.0 (FCR-MRG2)</t>
  </si>
  <si>
    <t>ME-403371-1</t>
  </si>
  <si>
    <t>MEMORIA FLASH KINGSTON 16 GB USB CHAMPAGNE 3.0 (DTSE9G2/16GB)</t>
  </si>
  <si>
    <t>ME-605472-25</t>
  </si>
  <si>
    <t>MEMORIA  SANDISK CONNECT WIRELESS STICK 64GB USB 2.0 (SDWS4-064G-G46)</t>
  </si>
  <si>
    <t>ME-605471-14</t>
  </si>
  <si>
    <t>MEMORIA  SANDISK CONNECT WIRELESS STICK 128GB USB 2.0 (SDWS4-128G-G46)</t>
  </si>
  <si>
    <t>ME-605472-47</t>
  </si>
  <si>
    <t>MEMORIA SANDISK SD EXTREME PRO 32GB UHS-II CL10 (SDSDXPK-032G-GN4IN)</t>
  </si>
  <si>
    <t>DD-393010-21</t>
  </si>
  <si>
    <t>DISCO DURO EXTERNO SEAGATE STEA2000426 2TB USB 3.0 XBOX STAR WARS JEDI</t>
  </si>
  <si>
    <t>DD-393015-4</t>
  </si>
  <si>
    <t xml:space="preserve">DISCO DURO INTERNO SEAGATE 300GB 2.5 ST300MM0048 10000RPM
</t>
  </si>
  <si>
    <t>DD-393010-5</t>
  </si>
  <si>
    <t>DISCO DURO INTERNO SEAGATE 6TB 3.5 ST6000VX0023 256MB SKYHAWK</t>
  </si>
  <si>
    <t>DD-393085-4MX</t>
  </si>
  <si>
    <t>DISCO DURO INTERNO SEAGATE 500GB ST500LM030 SATA 6GB 5400RPM 2.5" BULK</t>
  </si>
  <si>
    <t>DD-383085-8</t>
  </si>
  <si>
    <t>DISCO DURO EXTERNO SEAGATE STDR2000102 2TB USB 3.0 AZUL BACKUP PLUS</t>
  </si>
  <si>
    <t>DD-12403146-11</t>
  </si>
  <si>
    <t>DISCO DURO SEAGATE 500 GB 7200 RPM SATA II REFURBISHED</t>
  </si>
  <si>
    <t>DD-393011-2</t>
  </si>
  <si>
    <t>DISCO INTERNO SEAGATE ST3000DM008 3TB RECERTIFIED</t>
  </si>
  <si>
    <t>AL-030201-00</t>
  </si>
  <si>
    <t>DISCO DURO SEAGATE 2000 GB 7200 RPM SATA REFURBISHED/RMA</t>
  </si>
  <si>
    <t>DD-385309-22</t>
  </si>
  <si>
    <t>DISCO EXTERNO SEAGATE  BACKUP PLUS SLIM 1TB USB3 NEGRO REFURBISHED</t>
  </si>
  <si>
    <t>DD-393114-9</t>
  </si>
  <si>
    <t xml:space="preserve">DISCO DURO INTERNO TOSHIBA 8TB N300 3.5 HDWN180XZSTA 256MB 7200RPM
</t>
  </si>
  <si>
    <t>DD-393114-10</t>
  </si>
  <si>
    <t xml:space="preserve">DISCO DURO INTERNO TOSHIBA 10TB N300 3.5 HDWG11AXZSTA 256MB 7200RPM
</t>
  </si>
  <si>
    <t>DD-393110-20</t>
  </si>
  <si>
    <t xml:space="preserve">DISCO DURO INTERNO TOSHIBA 6TB N300 3.5 HDWN160XZSTA 256MB 7200RPM
</t>
  </si>
  <si>
    <t>DD-393186-10</t>
  </si>
  <si>
    <t>DISCO DURO INTERNO TOSHIBA 3TB 3.5 DT01ACA300 7200RPM</t>
  </si>
  <si>
    <t>DD-493110-1</t>
  </si>
  <si>
    <t>DISCO DURO INTERNO TOSHIBA 1TB P300 3.5 HDWD110XZSTA 64MB 7200RPM</t>
  </si>
  <si>
    <t>DD-393110-5</t>
  </si>
  <si>
    <t>DISCO DURO INTERNO TOSHIBA 1TB 2.5 MQ04ABF100 5400RPM</t>
  </si>
  <si>
    <t>DD-393186-17MX</t>
  </si>
  <si>
    <t>DISCO DURO INTERNO WD 4T WD4002FYYZ 7200RPM 3.5" SATA 3</t>
  </si>
  <si>
    <t>DD-395311-17</t>
  </si>
  <si>
    <t>DISCO DURO INTERNO WD WD20NPVT 2TB SATA 3 2.5" 8MB INTELLIPOWER BULK</t>
  </si>
  <si>
    <t>DD-7904154-6</t>
  </si>
  <si>
    <t>DISCO DURO INTERNO WD 320 GB  IDE 3.5 (WD3200AAJB, WD3200AVJB)7200 RPM</t>
  </si>
  <si>
    <t>DD-393177-5MX</t>
  </si>
  <si>
    <t>DISCO DURO INTERNO WD 320GB SATA 3.5 WD3200AAJS 7200RPM NEWPULL</t>
  </si>
  <si>
    <t>DD-12304154-4</t>
  </si>
  <si>
    <t>DISCO DURO INTERNO WD 320 GB  SATA II 3.5" (WD3200AAKX/AAJS/S)7200 RPM</t>
  </si>
  <si>
    <t>DD-395311-21</t>
  </si>
  <si>
    <t>DISCO DURO INTERNO WD 3TB SATA 6 REFURBISHED 64MB BULK (WD30EZRX)</t>
  </si>
  <si>
    <t>DD-7904154-3</t>
  </si>
  <si>
    <t>DISCO DURO INTERNO  WD 160GB  IDE 3.5" (WD1600BB /AAJB)7200 RPM</t>
  </si>
  <si>
    <t>DD-7204177-17</t>
  </si>
  <si>
    <t>DISCO DURO WD 320 GB 7200 RPM SATA II (WD3200AVJS)</t>
  </si>
  <si>
    <t>DD-124897-11</t>
  </si>
  <si>
    <t>DISCO DURO INTERNO WD 2TB SATA II 3.5" REFURBISHED</t>
  </si>
  <si>
    <t>DD-395311-22</t>
  </si>
  <si>
    <t>DISCO DURO WD 320 GB SATA NOTEBOOK (WD3200LPVX)</t>
  </si>
  <si>
    <t>DD-12403146-18</t>
  </si>
  <si>
    <t>DISCO DURO WD 500 GB SATA II(WD5000AAKS) 8MB</t>
  </si>
  <si>
    <t>EQ-524510-63</t>
  </si>
  <si>
    <t>DESKTOP DELL ALIENWARE AURORA R8 Ci7-9700K 16GB 2TB+256SSD RTX2080 W10</t>
  </si>
  <si>
    <t>EQ-524510-67</t>
  </si>
  <si>
    <t>LAPTOP DELL INSPIRON 5391 13" CI7-10510U 8GB 256SSD 2GB W10H 1W K2DJ7</t>
  </si>
  <si>
    <t>SV-393110-5</t>
  </si>
  <si>
    <t>DISCO DURO HP 1TB 6G SATA 7.2K 3.5IN SC MDL HDD(861691-B21)</t>
  </si>
  <si>
    <t>SV-603172-3</t>
  </si>
  <si>
    <t>MEMORIA RAM HPE 8GB 1Rx8 PC4-2400T-E P:MCRO,DL20 (862974-B21)</t>
  </si>
  <si>
    <t>EQ-523194-8</t>
  </si>
  <si>
    <t>DESKTOP HP ELITEDESK 705 G3 SFF A10-9700 8GB 1TB W10P W5Y61LT#ABM</t>
  </si>
  <si>
    <t>HP COMPUTO COMERCIAL</t>
  </si>
  <si>
    <t>SV-393111-1</t>
  </si>
  <si>
    <t>DISCO DURO HPE 1TB SAS 7.2K LFF SC DS P: DL360,380 (846524-B21)</t>
  </si>
  <si>
    <t>SV-343179-1</t>
  </si>
  <si>
    <t>HPE LARGE FORM FACTOR HARD DRIVE BLANK KIT( 666986-B21)</t>
  </si>
  <si>
    <t>EQ-523111-200</t>
  </si>
  <si>
    <t>DESKTOP HP 280 G3 SFF i3-8100 4GB 1TB W10P 3XT22LTELIFE2T</t>
  </si>
  <si>
    <t>EQ-523110-20</t>
  </si>
  <si>
    <t>DESKTOP HP PRODESK 600 G3 MINI i7-7700T 8GB 1TB W10P 3FT68LA#ABM</t>
  </si>
  <si>
    <t>EQ-503110-24</t>
  </si>
  <si>
    <t>WS HP ZBOOK 15V G5 i7-8750H 8GB 1TB P620 15.6" W10P 4ZB28LA#ABM</t>
  </si>
  <si>
    <t>TA-474991-18</t>
  </si>
  <si>
    <t>BDL LENOVO MICKEY TAB3-850F YOGA (ZA090068MX/MX68MX5856) 8',ANDROID,2G</t>
  </si>
  <si>
    <t>EQ-524911-19</t>
  </si>
  <si>
    <t>BUNDLE LENOVO THINK S510SFF MXS510M CI3,4GB,500GB W10P + MONITOR 19.5"</t>
  </si>
  <si>
    <t>AC-393579-5</t>
  </si>
  <si>
    <t>KIT TECLADO Y MOUSE COOLER MASTER DEVASTATOR 3 7 LED SGB-3000-KKMF1-SP</t>
  </si>
  <si>
    <t>AC-393510-4</t>
  </si>
  <si>
    <t>MOUSE COOLER MASTER MASTERMOUSE MM530 RGB 12000 DPI SGM-4007-KLLW1</t>
  </si>
  <si>
    <t>GA-383583-37</t>
  </si>
  <si>
    <t>GABINETE COOLER MASTER COSMOS II 25 ANIV. SSI EEB USB 3.0 RC-1200-KKN2</t>
  </si>
  <si>
    <t>AC-393579-6</t>
  </si>
  <si>
    <t>KIT TECLADO Y MOUSE COOLER MASTER MASTERKEYS LITE L SGB-3040-KKMF1-SP</t>
  </si>
  <si>
    <t>AC-393510-2</t>
  </si>
  <si>
    <t>MOUSE COOLER MASTER SENTINEL III RGB 6400 DPI SGM-6020-KLOW1</t>
  </si>
  <si>
    <t>EV-1011001-6</t>
  </si>
  <si>
    <t>ENFRIAMIENTO COOLER MASTER HYDRA 8800 PARA VGA NVIDIA RL-VNA-DO11-GP</t>
  </si>
  <si>
    <t>AC-393510-5</t>
  </si>
  <si>
    <t>MOUSE COOLER MASTER MASTERMOUSE MM520 RGB 12000 DPI USB SGM-2007-KLON1</t>
  </si>
  <si>
    <t>AC-364359-8</t>
  </si>
  <si>
    <t>BASE COOLER MASTER NB STAND/ARC/ BLACK R9-NBS-ARCK-GP</t>
  </si>
  <si>
    <t>AC-364359-5</t>
  </si>
  <si>
    <t>BASE COOLER MASTER  JAS MINI APPLE VERSION SILVER R9-TPS-JSMS-GP</t>
  </si>
  <si>
    <t>AC-364359-6</t>
  </si>
  <si>
    <t>BASE COOLER MASTER  JAS MINI GREY US VERSION R9-TPS-JSMGU-GP</t>
  </si>
  <si>
    <t>ME-428606-7</t>
  </si>
  <si>
    <t>MEMORIA DDR4 CORSAIR VENGEANCE LPX 16GB 2666MHZ 4X4 CMK16GX4M4A2666C16</t>
  </si>
  <si>
    <t>ME-606072-1</t>
  </si>
  <si>
    <t>MEMORIA USB CORSAIR 64GB FLASH PADLOCK CMFPLA3B-64GB</t>
  </si>
  <si>
    <t>ME-428606-15</t>
  </si>
  <si>
    <t>MEMORIA DDR4 CORSAIR DOMINATOR PLATINUM 32GB 2666 Mhz(4X8)X4M4A2666C15</t>
  </si>
  <si>
    <t>AC-396010-6</t>
  </si>
  <si>
    <t>MOUSE CORSAIR GAMING GLAIVE RGB 16000 DPI BLACK CH-9302011-NA</t>
  </si>
  <si>
    <t>AC-396012-2</t>
  </si>
  <si>
    <t>MOUSE MAT CORSAIR GAMING MM1000 Q1 WIRELESS CHARGING CH-9440022-NA</t>
  </si>
  <si>
    <t>AC-486010-7</t>
  </si>
  <si>
    <t>MOUSE MAT CORSAIR GAMING MM600 DOUBLE-SIDED CH-9000104-WW</t>
  </si>
  <si>
    <t>AU-376011-11</t>
  </si>
  <si>
    <t>HEADSET CORSAIR HS35 STEREO GAMING RED 3.5 MM CA-9011198-NA</t>
  </si>
  <si>
    <t>AC-486010-6</t>
  </si>
  <si>
    <t>MOUSE MAT CORSAIR GAMING MM400 STANDARD EDITION CH-9000103-WW</t>
  </si>
  <si>
    <t>DR-516611-5</t>
  </si>
  <si>
    <t>DRON DJI SPARK FLY MORE COMBO</t>
  </si>
  <si>
    <t>DR-516611-7</t>
  </si>
  <si>
    <t>DRON DJI SPARK FLY MORE COMBO (SKY BLUE)</t>
  </si>
  <si>
    <t>AC-447111-1</t>
  </si>
  <si>
    <t>DOCK PRO THUNDERBOLT 3 USB-C,USB-3,DP,SD,ETHERNET,AUX ELGATO 10DAC4101</t>
  </si>
  <si>
    <t>AC-587111-1</t>
  </si>
  <si>
    <t>KEY LIGHT ELGATO PANEL ILUMINACION LED PROF 2500LUM METAL 10GAK9901</t>
  </si>
  <si>
    <t>AC-447111-3</t>
  </si>
  <si>
    <t>DOCK THUNDERBOLT 3 USB-C/USB-3/DP/SD/ETHERNET/AUX ELGATO 10DAA4101</t>
  </si>
  <si>
    <t>AC-487111-1</t>
  </si>
  <si>
    <t>MOUSE PAD EL GATO MOUSE MAT CORSAIR 10GAH9901</t>
  </si>
  <si>
    <t>AC-447111-2</t>
  </si>
  <si>
    <t>DOCK THUNDERBOLT 3 MINI DP,HDMI,USB-3,ETHERNET ELGATO 10DAB9901</t>
  </si>
  <si>
    <t>AC-412635-2</t>
  </si>
  <si>
    <t>MOUSE GAMDIAS OPTICAL EREBOS (GD-GMS7500)</t>
  </si>
  <si>
    <t>AC-412635-1</t>
  </si>
  <si>
    <t>MOUSE GAMDIAS LASER EREBOS (GD-GMS7510)</t>
  </si>
  <si>
    <t>PA-613211-7</t>
  </si>
  <si>
    <t>TELEVISIÓN LG 65UM7400PUA 65" SMART WEB OS AI UHD 4K 3480*2160 WIFI</t>
  </si>
  <si>
    <t>PA-613211-6</t>
  </si>
  <si>
    <t>TELEVISIÓN LG 50UM7310PUA 50" SMART WEB OS AI UHD 4K 3840*2160 WIFI</t>
  </si>
  <si>
    <t>AU-363211-1</t>
  </si>
  <si>
    <t>BOCINA PORTATIL LG PK5 2.0 CH 20W BLUETOOTH AUX IPX5</t>
  </si>
  <si>
    <t>AU-363274-9</t>
  </si>
  <si>
    <t>BOCINA PORTATIL LG PK3 2.0 CH 16W BLUETOOTH AUX IPX7</t>
  </si>
  <si>
    <t>GD-476791-12</t>
  </si>
  <si>
    <t>TABLET 7" NECNON 2G2 8GB INT. 512MB RAM QUAD CORE BLUETOOTH ROSA</t>
  </si>
  <si>
    <t>EC-488616-4</t>
  </si>
  <si>
    <t>BASE PARA REPRODUCTOR AUDIO/VIDEO AG MOUNT AGMT 1443 NEGRA 10KGS</t>
  </si>
  <si>
    <t>VI-476814-13</t>
  </si>
  <si>
    <t>MICROSOFT XBOX ONE X 1 TB REFURBISHED FMQ-00042</t>
  </si>
  <si>
    <t>IM-594312-2</t>
  </si>
  <si>
    <t>PLOTTER CANON IMAGEPROGRAF IPF670e 24" 5 TINTAS SIN PEDESTAL 2162C002A</t>
  </si>
  <si>
    <t>PV-393410-11</t>
  </si>
  <si>
    <t>MINIPRINTER MATRICIAL EPSON TMU220A-153 SERIAL NG ACORTE C31C513153</t>
  </si>
  <si>
    <t>IM-413411-14</t>
  </si>
  <si>
    <t>MULTIFUNCIONAL EPSON ECOTANK L6161 33/20PPM WiFi ETHERNET C11CG21301</t>
  </si>
  <si>
    <t>IM-393410-1</t>
  </si>
  <si>
    <t>MINIPRINTER TERMICA EPSON TM-T88V-014 SERIAL-USB RECIBO BC(C31CA85014)</t>
  </si>
  <si>
    <t>IM-573411-1</t>
  </si>
  <si>
    <t>IMPRESORA ECOTANK EPSON L805 37/38 PPM CDS WIFI FOTOGRAFICA C11CE86301</t>
  </si>
  <si>
    <t>VP-427370-2</t>
  </si>
  <si>
    <t>PROYECTOR EPSON POWERLITE 935W WXGA 3700 LUM HDMI (V11H565020)</t>
  </si>
  <si>
    <t>PV-393410-2</t>
  </si>
  <si>
    <t>MINIPRINTER MATRICAL EPSON TM-U220B-603 SERIAL ACORTE BC (C31C514603)</t>
  </si>
  <si>
    <t>VP-423484-77</t>
  </si>
  <si>
    <t>PROYECTOR EPSON POWERLITE 980W 3800 LUM WXGA 2 HDMI/2 USB (V11H866020)</t>
  </si>
  <si>
    <t>AC-423411-2</t>
  </si>
  <si>
    <t>LLAVE USB WIRELESS EPSON EPSON COMPUTADORA S18/X21/99w/955(V12H005M09)</t>
  </si>
  <si>
    <t>PV-393499-1</t>
  </si>
  <si>
    <t>IMPRESORA EPSON TM-U950P DE MATRIZ (C31C176252)</t>
  </si>
  <si>
    <t>PV-393480-4</t>
  </si>
  <si>
    <t>MINIPRINTER MOBILINK EPSON TM-P80 ANDROID Y USB B (C31CD70511))</t>
  </si>
  <si>
    <t>CO-423412-6</t>
  </si>
  <si>
    <t>PAPEL EPSON CRYSTAL METALLIC FILM 24" x 100' 4.5MIL ROLLO (S045152)</t>
  </si>
  <si>
    <t>IM-138033-2</t>
  </si>
  <si>
    <t>IMPRESORA ECOTANK EPSON M105 35PPM MONOCROMATICA WIFI (C11CC85211)</t>
  </si>
  <si>
    <t>CB-590108-5</t>
  </si>
  <si>
    <t>CABLE PARA FAX MODEM granel</t>
  </si>
  <si>
    <t>PV-404783-4</t>
  </si>
  <si>
    <t>LECTOR IMAGER HONEYWELL VOYAGER 1400G2D-2USB-1 OMNIDIRECCIONAL C/BASE</t>
  </si>
  <si>
    <t>CO-451312-7</t>
  </si>
  <si>
    <t>TONER HP  507A COLOR LASERJET MAGENTA (CE403A)</t>
  </si>
  <si>
    <t>CO-451312-6</t>
  </si>
  <si>
    <t>TONER HP  507A COLOR LASJET AMARILLO (CE402A)</t>
  </si>
  <si>
    <t>IM-593178-2</t>
  </si>
  <si>
    <t>PLOTTER HP DESIGNJET T130 DE 24 IN (5ZY58A)</t>
  </si>
  <si>
    <t>CO-451312-8</t>
  </si>
  <si>
    <t>TONER HP  507A COLOR LASERJET CIAN (CE401A)</t>
  </si>
  <si>
    <t>CO-453175-7</t>
  </si>
  <si>
    <t>TONER HP 643A AMARILLO P/LASERJET 4700 (Q5952A)</t>
  </si>
  <si>
    <t>CO-450551-4</t>
  </si>
  <si>
    <t>TONER HP CIAN PARA LASERJET 4700 (Q5951A)</t>
  </si>
  <si>
    <t>CO-373189-4</t>
  </si>
  <si>
    <t>CABEZAL HP 88 NEGRO Y AMARILLO PARA OFFICEJET PRO K550dtn (C9381A)</t>
  </si>
  <si>
    <t>CO-0009005-1</t>
  </si>
  <si>
    <t>CARTUCHO HP 950 NEGRO OFFICEJET PARA 8600/K8600/8600+/8100 (CN049AL)</t>
  </si>
  <si>
    <t>CO-373189-18</t>
  </si>
  <si>
    <t>CARTUCHO HP 88XL NEGRO OFFICEJET K660 K550DTN K550D (C9396AL)</t>
  </si>
  <si>
    <t>CO-372312-51</t>
  </si>
  <si>
    <t>CARTUCHO HP 901 XL NEGRO PARA J4660/4500 DESKTOP-G510a (CC654AL)</t>
  </si>
  <si>
    <t>CO-373189-27</t>
  </si>
  <si>
    <t>CARTUCHO HP 88XL CIAN OFFICEJET K660 K550DTN K550D (C9391AL)</t>
  </si>
  <si>
    <t>CO-453179-31</t>
  </si>
  <si>
    <t>TONER HP NEGRO 643A LASERJET (Q5950A)</t>
  </si>
  <si>
    <t>CO-373189-28</t>
  </si>
  <si>
    <t>CARTUCHO HP 88XL MAGENTA OFFICEJET K660 K550DTN K550D (C9392AL)</t>
  </si>
  <si>
    <t>CO-373189-19</t>
  </si>
  <si>
    <t>CARTUCHO HP 75XL TRICOLOR P/F4180/C4280/ (CB338WL)</t>
  </si>
  <si>
    <t>CO-373178-19</t>
  </si>
  <si>
    <t>CARTUCHO ORIGINAL DE TÓNER NEGRO HP 130A LASERJET (CF350A)</t>
  </si>
  <si>
    <t>CO-373189-29</t>
  </si>
  <si>
    <t>CARTUCHO HP 88XL AMARILLO OFFICEJET K660 K550DTN K550D (C9393AL)</t>
  </si>
  <si>
    <t>CO-372312-62</t>
  </si>
  <si>
    <t>CARTUCHO HP 920XL CIAN  (CD972AL)</t>
  </si>
  <si>
    <t>CO-372312-48</t>
  </si>
  <si>
    <t>CARTUCHO HP 22XL TRICOLOR  PARA D1320/PSC140/1250 (C9352CL)</t>
  </si>
  <si>
    <t>CO-373178-37</t>
  </si>
  <si>
    <t>CARTUCHO ORIGINAL PAGEWIDE HP 974A AMARILLO (L0R93AL)</t>
  </si>
  <si>
    <t>CO-373189-17</t>
  </si>
  <si>
    <t>CARTUCHO HP 78 TRICOLOR DESKJET 970 P1000 P1100 (C6578DL)</t>
  </si>
  <si>
    <t>CO-372312-26</t>
  </si>
  <si>
    <t>CARTUCHO HP 901 TRICOLOR  PARA J4524/J4624/J4660/4500  (CC656AL)</t>
  </si>
  <si>
    <t>CO-460552-17</t>
  </si>
  <si>
    <t>CARTUCHO HP 920XL AMARILLO PARA OFFICEJET (CD974AL)</t>
  </si>
  <si>
    <t>CO-460551-37</t>
  </si>
  <si>
    <t>CARTUCHO HP 920 NEGRO PARA OFFICEJET 6000/6500 (CD971AL)</t>
  </si>
  <si>
    <t>CO-373189-1</t>
  </si>
  <si>
    <t>CARTUCHO HP 97 TRICOLOR (C9363WL)</t>
  </si>
  <si>
    <t>CO-460552-36</t>
  </si>
  <si>
    <t>CARTUCHO HP 940XL AMARILLO OFFICEJET  (C4909AL)</t>
  </si>
  <si>
    <t>CO-372312-24</t>
  </si>
  <si>
    <t>CARTUCHO HP 971 CIAN PARA OFFICEJET X451dw/X476dw (CN622AM)</t>
  </si>
  <si>
    <t>CO-373189-6</t>
  </si>
  <si>
    <t>CARTUCHO HP 971XL AMARILLO P/OFFICEJET X451dn, MFP X476dn (CN628AM)</t>
  </si>
  <si>
    <t>CO-373189-21</t>
  </si>
  <si>
    <t>CARTUCHO HP 82 MAGENTA 69 ML (C4912A)</t>
  </si>
  <si>
    <t>CO-373189-2</t>
  </si>
  <si>
    <t>CARTUCHO HP 564 TINTA FOTOGRAFICA (CB317WL)</t>
  </si>
  <si>
    <t>CO-373189-3</t>
  </si>
  <si>
    <t>CARTUCHO HP 920XL NEGRO (CD975AL)</t>
  </si>
  <si>
    <t>CO-373189-37</t>
  </si>
  <si>
    <t>CARTUCHO HP 74X NEGRO ALTO RENDIMIENTO (CB336WL)</t>
  </si>
  <si>
    <t>CO-460551-35</t>
  </si>
  <si>
    <t>CARTUCHO HP 98 NEGRO PARA DESKJET (C9364WL)</t>
  </si>
  <si>
    <t>AC-559563-73</t>
  </si>
  <si>
    <t>LECTOR POSLINE SM2420 OMNIDIRECCIONAL USB NEGRO</t>
  </si>
  <si>
    <t>PV-391394-2</t>
  </si>
  <si>
    <t>IMPRESORA TERMICA TICKET SUBARASI PS23TK NEGRA ETHERNET TCP/IP 2012007</t>
  </si>
  <si>
    <t>CO-391394-1</t>
  </si>
  <si>
    <t xml:space="preserve"> ETIQ. TT POSLINE 51X25MM 2 AL PASO,C/3,550. 50MTS 4000223
</t>
  </si>
  <si>
    <t>PV-376394-6</t>
  </si>
  <si>
    <t>CINTA POSLINE PARA IMPRESORA IM1150 COLOR NEGRA  (PAQ CON 6) 2003007</t>
  </si>
  <si>
    <t>CO-391394-2</t>
  </si>
  <si>
    <t>RIBBON POSLINE W1 OUT 236 BLK 60MMX300M WAX (36/CASE)</t>
  </si>
  <si>
    <t>TA-438316-1</t>
  </si>
  <si>
    <t>TABLET TOSHIBA WT8-ASP0360FM Intel Quad Core Z3740, 2GB, 32GB, HD mult</t>
  </si>
  <si>
    <t>CO-375996-6</t>
  </si>
  <si>
    <t>RIBBON ZEBRA 800033-340 COLOR 5 PANEL YMCKO PARA ZXP3 280 IMÁGENES</t>
  </si>
  <si>
    <t>IM-395910-1</t>
  </si>
  <si>
    <t>RIBBON ZEBRA COLOR 4 PANEL YMCK P/ZXP 8</t>
  </si>
  <si>
    <t>PV-405973-1</t>
  </si>
  <si>
    <t>LECTOR ZEBRA DS9208 IMAGER 1D/2D USB NEGRO (PE)</t>
  </si>
  <si>
    <t>CO-375910-1</t>
  </si>
  <si>
    <t>RIBBON ZEBRACERA 110X450 P/IMP.INDUSTRIAL 02000BK11045</t>
  </si>
  <si>
    <t>CO-395999-1</t>
  </si>
  <si>
    <t>RIBBON ZEBRA 5 PANEL YMCKO P/ZXP 7 250 IMAG(800077-740)</t>
  </si>
  <si>
    <t>PV-375995-3</t>
  </si>
  <si>
    <t>LABEL, PAPER 4X6IN(101.6X152.4MM) DT Z-PERFORM 2000D, VALUE COATED ALL</t>
  </si>
  <si>
    <t>CO-395999-2</t>
  </si>
  <si>
    <t>ZEBRA RIBBON NEGRO P/ZXP 1 800011-101</t>
  </si>
  <si>
    <t>RE-30153118-20</t>
  </si>
  <si>
    <t>ADAPTADOR INALAMBRICO USB AIRLINK AWLL5055 N150 ANTENA ALTA GANANCIA 1</t>
  </si>
  <si>
    <t>CB-392429-20</t>
  </si>
  <si>
    <t>PATCH CORD BELDEN CAT 6 BLANCO 1.2M C601109004</t>
  </si>
  <si>
    <t>CB-392429-38</t>
  </si>
  <si>
    <t>TAPA CIEGA BELDEN  INSERTO BLANCO AX102262</t>
  </si>
  <si>
    <t>CB-392429-21</t>
  </si>
  <si>
    <t>PATCH CORD BELDEN CAT 6 AZUL 1.2M C601106004</t>
  </si>
  <si>
    <t>EN-416443-4</t>
  </si>
  <si>
    <t>NOBREAK/UPS MARCA CDP MOD UPRS1508 1500VA/1050W SENOIDAL 8 CONT REG BA</t>
  </si>
  <si>
    <t>EN-19253120-15</t>
  </si>
  <si>
    <t>TARJETA MARCA CDP  SNMP PARA COMUNICACION VIA ETHERNET (SNMP-MCY-EN)</t>
  </si>
  <si>
    <t>EN-349443-1</t>
  </si>
  <si>
    <t>KIT DE RIELES MARCA CDP COMPATIBLE CON  MODS UPO11RT 1,2,3 KVA y UPO22</t>
  </si>
  <si>
    <t>RE-351454-10</t>
  </si>
  <si>
    <t>ACCES POINT POE D-LINK/ANTENA 10dBi/EMPRESARIAL/SSID/DAP-3310</t>
  </si>
  <si>
    <t>SG-687115-3</t>
  </si>
  <si>
    <t>NVR DAHUA EZIP NVR1B04HSP 4CH IP/H265+/4 PUERTOS POE/80MBPS/SATA 6TB</t>
  </si>
  <si>
    <t>SG-687115-5</t>
  </si>
  <si>
    <t>NVR DAHUA NVR44324KS2 32 CANALES IP 4K/H265/200 MBPS/HDMI/VGA/IVS</t>
  </si>
  <si>
    <t>SG-687115-4</t>
  </si>
  <si>
    <t>NVR DAHUA EZIP NVR1B08HSP 8 CH IP/H265+ &amp; H264+ /80MBPS/SATA 6TB</t>
  </si>
  <si>
    <t>SG-367173-12</t>
  </si>
  <si>
    <t>CÁMARA DAHUA BULLET EZIP B1B4036 4MPX /H265+/3.6MM /80°/IR 30 MTS/IP67</t>
  </si>
  <si>
    <t>SG-387173-1</t>
  </si>
  <si>
    <t xml:space="preserve">DISTRIBUIDOR DE ENERGIA DAHUA PFM3419CH /9 CANALES/12 VDC/5 AMP
</t>
  </si>
  <si>
    <t>SG-367173-10</t>
  </si>
  <si>
    <t>CÁMARA DAHUA BULLET EZIP B1B20L28 2MPX/H265+/2.8MM/115°/IR 30 MTS/IP67</t>
  </si>
  <si>
    <t>SG-367173-5</t>
  </si>
  <si>
    <t>CAMARA DAHUA HDW2241TA28 DOMO HDCVI 1080P/2.8 MM/AUDIO/IR 50 MTS</t>
  </si>
  <si>
    <t>EN-416915-1</t>
  </si>
  <si>
    <t>NO BREAK/UPS/EATON 5PX1500RT/RACK/TORRE/1440VA/1440W</t>
  </si>
  <si>
    <t>EN-416992-8</t>
  </si>
  <si>
    <t>NO BREAK/UPS/MARCA EATON/9PX1000RT/TORRE/RACK/UPS/120VA</t>
  </si>
  <si>
    <t>EN-416992-4</t>
  </si>
  <si>
    <t>NO BREAK ON LINE/EATON 9PX2000RT/ 2U/RACK/120V/(6)5-20R/(1)L5-20R</t>
  </si>
  <si>
    <t>EN-416910-2</t>
  </si>
  <si>
    <t>NO BREAK/UPS/EATON 5E1200USB-LA/1200VA/4CONT/USB/120V/USB Y RJ45</t>
  </si>
  <si>
    <t>EN-416914-1</t>
  </si>
  <si>
    <t>NO BREAK/UPS/EATON 5E650USB-LA/650V /4 CONT/USB /RJ11/(4)5-15R</t>
  </si>
  <si>
    <t>CB-2331524-1</t>
  </si>
  <si>
    <t>JACK CAT5E AMMP COLOR AZUL</t>
  </si>
  <si>
    <t>CB-394889-6</t>
  </si>
  <si>
    <t>BOBINA CABLE UTP CAT 6 MULTIFILAR INTELLINET GRIS 24 AWG 305MTS 334143</t>
  </si>
  <si>
    <t>CB-394896-1</t>
  </si>
  <si>
    <t>GABINETE MURAL MONTAJE PARED FLATPACK 12U 600X400MM INTELLINET 711616</t>
  </si>
  <si>
    <t>RE-394872-1</t>
  </si>
  <si>
    <t>SWITCH 8 PTOS 4POE /4 STD P/ESCRITORIO 10/100 MBPS INTELLINET 560757</t>
  </si>
  <si>
    <t>RE-394810-1</t>
  </si>
  <si>
    <t>TARJETA DE RED GIGABIT ETHERNET PCI EXPRESS (WOL) INTELLINET 522533</t>
  </si>
  <si>
    <t>CB-584812-1</t>
  </si>
  <si>
    <t>LLAVE DESBLOQUEO INTELLINET PANEL PARCHEO COPLES JACKS 790833</t>
  </si>
  <si>
    <t>CB-392486-68</t>
  </si>
  <si>
    <t>CABLE PATCH CAT 6, UTP 25.0F (7.6MTS) INTELLINET COLOR GRIS 336758</t>
  </si>
  <si>
    <t>CB-364875-1</t>
  </si>
  <si>
    <t>PLUG MODULAR UTP RJ45 CAT5E SOLIDO (1 PIEZA) INTELLINET 502399</t>
  </si>
  <si>
    <t>CB-392486-62</t>
  </si>
  <si>
    <t>CABLE PATCH CAT 6, UTP 7.0F (2.0MTS) INTELLINET COLOR NEGRO 342063</t>
  </si>
  <si>
    <t>CB-394810-11</t>
  </si>
  <si>
    <t>CABLE PATCH CAT 6, UTP 0.5F (0.15MTS) INTELLINET COLOR AZUL 347433</t>
  </si>
  <si>
    <t>EN-496214-1</t>
  </si>
  <si>
    <t>SUPRESOR PARED KOBLENZ SS-1100 USB/1100 JOULES/7 CONT/2 USB2.4A/BLANC</t>
  </si>
  <si>
    <t>SG-406278-1</t>
  </si>
  <si>
    <t>KIT 4 CAMARAS BALA LAVIEW LV- KH944FT4B5-T1/DVR/4CH/720P/CABLES/SOPORT</t>
  </si>
  <si>
    <t>CB-396291-1</t>
  </si>
  <si>
    <t>CORDON DE PARCHEO EXTREME® 10G, 7-PIES DE LONGITUD AZUL 6210G-07L</t>
  </si>
  <si>
    <t>CB-366289-2</t>
  </si>
  <si>
    <t>PANEL DE PARCHEO LEVITON EXTREME 10G 5-PIES AZUL 6210G-05L</t>
  </si>
  <si>
    <t>CB-396289-9</t>
  </si>
  <si>
    <t>CONECTOR CLASIFICADO LEVITON/PARA CANAL GIGAMAX 5E NEGRO/5G108-RE5</t>
  </si>
  <si>
    <t>CB-366210-1</t>
  </si>
  <si>
    <t>PANELES DE INTERCONEXION QUICKPORT 24 PUERTOS 1 UR VACIO 49255-H24</t>
  </si>
  <si>
    <t>RE-392623-27</t>
  </si>
  <si>
    <t>PLACA ACOPLADORA 50 (OM3 &amp; 4) MM DUPLEX SC 12 FIBRAS LEVITON 5F100-2QC</t>
  </si>
  <si>
    <t>RE-396289-6</t>
  </si>
  <si>
    <t>CONECTOR CLASIFICADO PARA CANAL 10G AZUL LEVITON 6110G-RL6</t>
  </si>
  <si>
    <t>RE-392623-14</t>
  </si>
  <si>
    <t>PLACA CIEGA PARA RACK 2UR ESTANDAR LEVITON (49254-BP2)</t>
  </si>
  <si>
    <t>RE-396210-3</t>
  </si>
  <si>
    <t>CORDON PARCHEO EXTREMO DURAPORT RJ45 STD CAT 6 5FT LEVITON D6721-05E</t>
  </si>
  <si>
    <t>CB-392623-1</t>
  </si>
  <si>
    <t>PATCH CORD LEVITON CAT 5E, AZUL, 10 PIES, 5D460-10L</t>
  </si>
  <si>
    <t>RE-366624-5</t>
  </si>
  <si>
    <t>CORDON DE PARCHEO EXTREME LEVITON CAT5 DE 10FT (3MTS) BLANCO 5G460-10W</t>
  </si>
  <si>
    <t>RE-366624-3</t>
  </si>
  <si>
    <t>CORDON DE PARCHEO EXTREME LEVITON CAT5 DE 10FT (3MTS) AZUL 5G460-10L</t>
  </si>
  <si>
    <t>RE-392623-8</t>
  </si>
  <si>
    <t>PLACA CIEGA PARA RACK 1UR ESTANDAR LEVITON (49254-BP1)</t>
  </si>
  <si>
    <t>AC-396289-1</t>
  </si>
  <si>
    <t>CORDONES DE PARCHEO GIGAMAX LEVITON/ESTANDAR/CAT5E UTP/5PIES/5G460-05L</t>
  </si>
  <si>
    <t>RE-366624-4</t>
  </si>
  <si>
    <t>CORDON DE PARCHEO EXTREME LEVITON CAT5 DE 10FT (3MTS) GRIS 5G460-10S</t>
  </si>
  <si>
    <t>RE-366623-5</t>
  </si>
  <si>
    <t>PATCH CORD GIGAMAX SLIMLINE CAT 5e 7 PIES AZUL LEVITON (5D460-07L)</t>
  </si>
  <si>
    <t>CB-396289-8</t>
  </si>
  <si>
    <t>CORDON LEVITON DE PARCHEO EXTREME 10G 10-PIES LONGITUD AZUL/6210G-10L</t>
  </si>
  <si>
    <t>RE-366624-10</t>
  </si>
  <si>
    <t>CORDON DE PARCHEO EXTREME LEVITON CAT5 DE 7 FT (MTS) GRIS 5G460-07S</t>
  </si>
  <si>
    <t>CB-366289-5</t>
  </si>
  <si>
    <t>JUMPER MULTIMODO OM4 50/125, DUPLEX, LC-LC 1MTS (54DLC-M01)</t>
  </si>
  <si>
    <t>RE-366624-11</t>
  </si>
  <si>
    <t>CORDON DE PARCHEO EXTREME LEVITON CAT5 DE 7 FT (2MTS) BLANCO 5G460-07W</t>
  </si>
  <si>
    <t>CB-392623-2</t>
  </si>
  <si>
    <t>PATCH CORD LEVITON CAT 5E, AZUL, 5 PIES, 5D460-05L</t>
  </si>
  <si>
    <t>RE-396289-2</t>
  </si>
  <si>
    <t>CONECTOR LEVITON QUICKPORT GIGAMAX CATEGORIA 5E 5G110-RW5</t>
  </si>
  <si>
    <t>RE-366624-6</t>
  </si>
  <si>
    <t>CORDON DE PARCHEO EXTREME LEVITON  DE 7 FT (2MTS) FT AZUL 62460-07L</t>
  </si>
  <si>
    <t>RE-366623-2</t>
  </si>
  <si>
    <t>PLACA QUICKPORT PLACA SENCILLA 4 PUERTOS BLANCO LEVITON (41080-4WP)</t>
  </si>
  <si>
    <t>RE-366624-9</t>
  </si>
  <si>
    <t>CORDON DE PARCHEO EXTREME LEVITON CAT5 DE 7 FT (2MTS) AZUL 5G460-07L</t>
  </si>
  <si>
    <t>RE-366624-7</t>
  </si>
  <si>
    <t>CORDON DE PARCHEO EXTREME LEVITON  DE 7 FT (2MTS) FT GRIS 62460-07S</t>
  </si>
  <si>
    <t>RE-354912-3</t>
  </si>
  <si>
    <t>ACCESS POINT LINKSYS DUAL BAND CLOUD/PoE/AC2600 (LAPAC2600C)</t>
  </si>
  <si>
    <t>RE-354912-1</t>
  </si>
  <si>
    <t>ACCESS POINT LINKSYS DUAL BANDCLOUD/POE/AC1200/MIMO2X2(LAPAC1200C)</t>
  </si>
  <si>
    <t>RE-436499-15</t>
  </si>
  <si>
    <t>SWITCH LINKSYS METALICO/RACK/CAPA 2/3/28 PTOS PoE GIGABIT/ SFP/LGS528P</t>
  </si>
  <si>
    <t>RE-436499-14</t>
  </si>
  <si>
    <t>SWITCH LINKSYS METALICO/RACK/CAPA 2/3/28PTOS GIGABIT/SFP/LGS528</t>
  </si>
  <si>
    <t>RE-354912-2</t>
  </si>
  <si>
    <t>ACCESS POINT LINKSYS DUAL BAND CLOUD/PoE/AC1750 (LAPAC1750C)</t>
  </si>
  <si>
    <t>RE-434910-1</t>
  </si>
  <si>
    <t>SWITCH LINKSYS PLASTICO 5 PUERTOS/FAST ETHERNET (SE1500-NP)</t>
  </si>
  <si>
    <t>RE-436499-13</t>
  </si>
  <si>
    <t>SWITCH LINKSYS METALIC/RACK/CAPA2/26PTOS GIGABIT/24PTS PoE/SFP/LGS326P</t>
  </si>
  <si>
    <t>RE-436499-7</t>
  </si>
  <si>
    <t>SWITCH LINKSYS METALICO/RACK/24PTOS GIGABIT/10 PTOS PoE+/LGS124P</t>
  </si>
  <si>
    <t>RE-394913-1</t>
  </si>
  <si>
    <t>ROUTER LINKSYS GAMER/D BANDA/AC3200/KILLER/GB/USB3.0/eSATA/WRT32X</t>
  </si>
  <si>
    <t>RE-434911-3</t>
  </si>
  <si>
    <t>ROUTER INALAMBRICO LINKSYS N300 2.4 GHZ (E900-LA/NP)</t>
  </si>
  <si>
    <t>SG-366713-1</t>
  </si>
  <si>
    <t>MINI CAMARA BULLET IR/ LTS/ RESOLUCIÓN 1920x1081 /HD/ 3D DNR/ CMIP8222</t>
  </si>
  <si>
    <t>SG-366712-1</t>
  </si>
  <si>
    <t>CAMARA/ LTS/ CMIP8222B/ MINI IR BALA/ 2.1 MP/ HD/ 3D DNR &amp; DWDR/ COLOR</t>
  </si>
  <si>
    <t>AC-486796-1</t>
  </si>
  <si>
    <t>DVR TVI LTS/ LTD8504T-ST/ PLATINUM ADVANCED LEVEL/4CH/HDMI/VGA/ DISCO</t>
  </si>
  <si>
    <t>SG-366713-4</t>
  </si>
  <si>
    <t>CAMARA DUMMY DOMO/ LTS/ LUZ LED ROJA/ 45 °/ DUM-301E/ WHITE/ USA</t>
  </si>
  <si>
    <t>AC-352678-3</t>
  </si>
  <si>
    <t>VIDEO SPLITTER HDMI MANHATTAN UHDTV 4K@30HZ, 4 IN : 2 OUT 207409</t>
  </si>
  <si>
    <t>AC-362614-2</t>
  </si>
  <si>
    <t>CABLE USB-C MANHATTAN V3.1, C-DVI M 2.0M NEGRO 152457</t>
  </si>
  <si>
    <t>AC-402674-2</t>
  </si>
  <si>
    <t>BACKPACK MANHATTAN DASHPACK 12" NEGRO/ROSA 439879</t>
  </si>
  <si>
    <t>AC-365097-2</t>
  </si>
  <si>
    <t>DISPLAY MANHATTAN 60 CABLES MICRO USB A MICRO B 0.5M COLORES 394178</t>
  </si>
  <si>
    <t>AC-362614-3</t>
  </si>
  <si>
    <t>CABLE USB-C MANHATTAN V3.1, C-SERIAL M 0.45M NEGRO 151566</t>
  </si>
  <si>
    <t>AC-355078-3</t>
  </si>
  <si>
    <t>ADAPTADOR HDMI HEMBRA A MACHO MANHATTAN ÁNGULO IZQ DE 90° 353489</t>
  </si>
  <si>
    <t>AC-362683-35</t>
  </si>
  <si>
    <t>CABLE ILYNK LIGHTNING MANHATTAN (8P A USB) VERDE 1.0 MTS 394215</t>
  </si>
  <si>
    <t>AC-352697-1</t>
  </si>
  <si>
    <t>VIDEO SPLITTER MANHATTAN DISPLAYPORT 1 DP IN:2 DP OUT USB/MST 207768</t>
  </si>
  <si>
    <t>AC-355083-1</t>
  </si>
  <si>
    <t>CONVERTIDOR MANHATTAN DE VIDEO USB-C a DVI HEMBRA 152051</t>
  </si>
  <si>
    <t>AC-352614-1</t>
  </si>
  <si>
    <t>EXTENSOR VIDEO HDMI MANHATTAN, 4K, 40MTS VIA REPETIDOR 207621</t>
  </si>
  <si>
    <t>AC-365084-4</t>
  </si>
  <si>
    <t>CABLE MONITOR SVGA MANHATTAN 8MM HD15M-H 7.5 MTS 327015</t>
  </si>
  <si>
    <t>AC-362683-34</t>
  </si>
  <si>
    <t>CABLE USB MANHATTAN TIPO CM - BM 2.0 MTS NEGRO  V3.1 GEN1 354998</t>
  </si>
  <si>
    <t>AC-362683-23</t>
  </si>
  <si>
    <t>CABLE USB MANHATTAN TIPO CM - AM 5.0 MTS NEGRO  V2.0 354943</t>
  </si>
  <si>
    <t>AC-484111-1</t>
  </si>
  <si>
    <t xml:space="preserve">MOUSEPAD EXTRAGRANDE GAMING NEGRO IMPERMEABLE MANHATTAN 425414
</t>
  </si>
  <si>
    <t>AC-362683-25</t>
  </si>
  <si>
    <t>CABLE USB-C MANHATTAN V3.1, C-C 2.0M NEGRO 354905</t>
  </si>
  <si>
    <t>AC-415083-7</t>
  </si>
  <si>
    <t>MOUSE OPTICO MANHATTAN "EDGE" USB AZUL/NEGRO 177801</t>
  </si>
  <si>
    <t>AC-352614-2</t>
  </si>
  <si>
    <t>CONVERTIDOR MANHATTAN USB-C A DB25 H 1.0M PARA IMPRESORA 152518</t>
  </si>
  <si>
    <t>AC-353503-57</t>
  </si>
  <si>
    <t>ADAPTADOR MANHATTAN DISPLAYPORT M - HDMI H 308212</t>
  </si>
  <si>
    <t>AC-362614-1</t>
  </si>
  <si>
    <t>CABLE USB-C MANHATTAN V3.1, C-C 1.0M NEGRO 353526</t>
  </si>
  <si>
    <t>AC-352675-3</t>
  </si>
  <si>
    <t>CONVERTIDOR MANHATTAN HDD  SATA150 A TARJETA IDE 152129</t>
  </si>
  <si>
    <t>AC-362612-2</t>
  </si>
  <si>
    <t>CABLE VIDEO MANHATTAN DVI DDM - DVI DDM 5.0M 301244</t>
  </si>
  <si>
    <t>AC-366503-51</t>
  </si>
  <si>
    <t>CABLE MONITOR SVGA MANHATTAN 8MM HD15M-H  15.0M 313612</t>
  </si>
  <si>
    <t>AC-366503-9</t>
  </si>
  <si>
    <t>CABLE MANHATTAN IMPRESORA BITRONICS 1.8M 303033</t>
  </si>
  <si>
    <t>AC-362614-5</t>
  </si>
  <si>
    <t>CABLE MANHATTAN USB-C M-M 2.0M ALTA VELOCIDAD 355247</t>
  </si>
  <si>
    <t>AC-402677-2</t>
  </si>
  <si>
    <t>LECTOR DE TARJETAS INTELIGENTES MANHATTAN +SIM (C/CHIP) USB 2.0 102032</t>
  </si>
  <si>
    <t>AC-353503-10</t>
  </si>
  <si>
    <t>CONVERTIDOR MANHATTAN USB A VIDEO HD15(1280*1040) 179225</t>
  </si>
  <si>
    <t>AC-421503-1</t>
  </si>
  <si>
    <t>CANDADO LAPTOP MANHATTAH  LLAVE 1.8M NEGRO V2.0 440240</t>
  </si>
  <si>
    <t>AC-362683-30</t>
  </si>
  <si>
    <t>CABLE USB MANHATTAN TIPO CM - BM 1.0 MTS NEGRO  V3.1 GEN2 353380</t>
  </si>
  <si>
    <t>RE-482681-1</t>
  </si>
  <si>
    <t>TARJETA PCI COMBO MANHATTAN 2 PUERTOS SERIAL Y 1 PARALELO 158251</t>
  </si>
  <si>
    <t>AC-362683-12</t>
  </si>
  <si>
    <t>CABLE USB MANHATTAN TIPO C M-MICRO B M 2.0M V2.0 354967</t>
  </si>
  <si>
    <t>AC-362683-31</t>
  </si>
  <si>
    <t>CABLE USB TIPO C MANHATTAN M-M 50 CM NEGRO V3.1 GEN2 354899</t>
  </si>
  <si>
    <t>AC-352683-8</t>
  </si>
  <si>
    <t>CONVERTIDOR MANHATTAN USB A SERIAL DB9M 4 PUERTOS 151047</t>
  </si>
  <si>
    <t>AC-366503-35</t>
  </si>
  <si>
    <t>CABLE MONITOR SVGA MANHATTAN 8MM HD15M-M  1.8M + AUD 324267</t>
  </si>
  <si>
    <t>AC-365014-1</t>
  </si>
  <si>
    <t>CABLE USB TIPO C 3.1 SUPER VELOCIDAD M-M 1M MANHATTAN 355223</t>
  </si>
  <si>
    <t>AC-355096-3</t>
  </si>
  <si>
    <t>ADAPTADOR MANHATTAN DISPLAYPORT MINI M A VGA H 322508</t>
  </si>
  <si>
    <t>AC-352683-22</t>
  </si>
  <si>
    <t>CONVERTIDOR MANHATTAN USB-C A HDD SATA 2.5" V 3.1 GEN2 152495</t>
  </si>
  <si>
    <t>AC-362610-2</t>
  </si>
  <si>
    <t>CABLE MANHATTAN DISPLAYPORT MINI M - MINI M 1.0M BLANCO 324557</t>
  </si>
  <si>
    <t>AC-405074-1</t>
  </si>
  <si>
    <t>BACKPACK MANHATTAN DASHPACK 12" NEGRO/AZUL 439855</t>
  </si>
  <si>
    <t>AC-362678-18</t>
  </si>
  <si>
    <t>CABLE VIDEO HDMI MANHATTAN DVI-D M-M 4.5M 372527</t>
  </si>
  <si>
    <t>AC-362678-29</t>
  </si>
  <si>
    <t>EXTENSION HDMI MANHATTAN V1.4 M-H 1.0 MTS + ETHERNET 354363</t>
  </si>
  <si>
    <t>AC-362683-2</t>
  </si>
  <si>
    <t>CABLE MANHATTAN ILYNK LIGHTNING MACHO/MACHO 8 PINES GRIS 394345</t>
  </si>
  <si>
    <t>AC-352683-27</t>
  </si>
  <si>
    <t>ADAPTADOR MANHATTAN USB TIPO C V3.1 CM-MINI B H NEGRO 354677</t>
  </si>
  <si>
    <t>AU-378610-23</t>
  </si>
  <si>
    <t>PLANTRONICS TELÉFONO ANALOGICO PRACTICO T110 CON AURICULAR , NEGRO</t>
  </si>
  <si>
    <t>TE-486173-1</t>
  </si>
  <si>
    <t>PLANTRONICS HL10 - DESCOLGADOR TELEFÓNICO, COLOR NEGRO</t>
  </si>
  <si>
    <t>SG-366073-8</t>
  </si>
  <si>
    <t xml:space="preserve">CÁMARA PARA AUTO PROVISION-ISR PR-2400CDV - 1080P - LCD 4"
</t>
  </si>
  <si>
    <t>PROVISION</t>
  </si>
  <si>
    <t>SG-349609-18</t>
  </si>
  <si>
    <t>GRABADOR DIGITAL NVR-8200 PROVISION 8 CANALES 720P 1U (NVR-8200, 1U)</t>
  </si>
  <si>
    <t>SG-349609-17</t>
  </si>
  <si>
    <t>GRABADOR DIGITAL NVR-16400 PROVISION 16 CANALES 720P 1U (NVR-16400, 1U</t>
  </si>
  <si>
    <t>SG-236015-4</t>
  </si>
  <si>
    <t xml:space="preserve">DVR AHD MINI,SH-8100A5-8L(MM), 8 CH AHD + 8 CH IP, 8MP LITE
</t>
  </si>
  <si>
    <t>SG-396010-1</t>
  </si>
  <si>
    <t>NVR 4 CANALES 720P PUERTOS POE PROVISION (NVR-4100P)</t>
  </si>
  <si>
    <t>SG-236015-1</t>
  </si>
  <si>
    <t xml:space="preserve">DVR 4 CANALES SH-4100A-2L(MM) HDD, MÁX. 6TB, 2X USB 2.0, 1X RJ-45
</t>
  </si>
  <si>
    <t>SG-486090-1</t>
  </si>
  <si>
    <t>DVR MARCA PROVISION MOD SA-4050AHD-2 4 CANALES</t>
  </si>
  <si>
    <t>EN-435496-1</t>
  </si>
  <si>
    <t>REGULADOR SOLA BASIC PC-300 FERRORRESONANTE/300VA/240W/4 CONT/120V</t>
  </si>
  <si>
    <t>EN-415549-5</t>
  </si>
  <si>
    <t>NOBREAK SOLA BASIC SRS-21-162  FASE 1600VA/1300W/P SERVIDOR/PLCD/6CONT</t>
  </si>
  <si>
    <t>EN-20180119-4</t>
  </si>
  <si>
    <t>REGULADOR SOLA BASIC PC-1000 1000VA 4 CONTACTOS</t>
  </si>
  <si>
    <t>TE-465710-8</t>
  </si>
  <si>
    <t>CELULAR NEFFOS C9S/5.7HD+/V-T/MT6761/4X2.0GHZ/32GB/2RD/F5MG/T13MP/TP70</t>
  </si>
  <si>
    <t>RE-435713-1</t>
  </si>
  <si>
    <t>SWITCH ADMINL2TP-LINK/24PTOSGIGA&amp;PoE/4PTOSSFP/T2600G-28MPS(TL-SG3424P)</t>
  </si>
  <si>
    <t>RE-366574-7</t>
  </si>
  <si>
    <t>CABLE EXTENSION ANTENA TP-LINK/12MTS/HEMBRA N/KMS-400/TL-ANT24EC12N</t>
  </si>
  <si>
    <t>RE-356574-9</t>
  </si>
  <si>
    <t>ANTENA EXT. DE PANEL TP-LINK/23dBi/5GHZ/HEMBRA N/TL-ANT5823B</t>
  </si>
  <si>
    <t>TE-465710-1</t>
  </si>
  <si>
    <t>TELEFONO TP-LINK X9 6"HD OCTA2.5GHZ32ROM 8+18MPXSPACE BLACK TP913A56MX</t>
  </si>
  <si>
    <t>RE-433574-32</t>
  </si>
  <si>
    <t>ROUTER BALANCEADOR DE CARGA TP-LINK/3 WAN/LAN/QoS/TL-R470T+</t>
  </si>
  <si>
    <t>RE-356574-11</t>
  </si>
  <si>
    <t>ANTENA EXT. DIRECCIONAL TP-LINK/14dBi/2.4GHZ/HEMBRA RP-SMA/TL-ANT2414A</t>
  </si>
  <si>
    <t>RE-355714-3</t>
  </si>
  <si>
    <t>CONVERTIDOR MEDIOS TP-LINK/MULTIMEDIA/WDM/10/100MB/MC112CS</t>
  </si>
  <si>
    <t>TE-485714-6</t>
  </si>
  <si>
    <t>TELEFONO TP-LINK X1 5" HD OCT ORO 1.8GHZ RAM 2GB 13MPXCAM (TP902C44MX)</t>
  </si>
  <si>
    <t>RE-355778-11</t>
  </si>
  <si>
    <t>ANTENA EXT. MIMO TP-LINK/24dBi/2.4GHZ/RP-SMA/2X2 DISH/TL-ANT2424MD</t>
  </si>
  <si>
    <t>RE-366574-6</t>
  </si>
  <si>
    <t>CABLE EXTENSION ANTENA TP-LINK/6MTS/HEMBRA N/KMS-400/TL-ANT24EC6N</t>
  </si>
  <si>
    <t>RE-433574-18</t>
  </si>
  <si>
    <t>ROUTER INALAMBRICO 3G TP-LINK/N150/PUERTO USB /TL-MR3220</t>
  </si>
  <si>
    <t>RE-353574-18</t>
  </si>
  <si>
    <t>MODULO MINI-GBIC TP-LINK/MONO-MODO/SFP/10KM/LC UPC/TL-SM311LS</t>
  </si>
  <si>
    <t>RE-353574-17</t>
  </si>
  <si>
    <t>MODULO MINI-GBIC TP-LINK/MULTI-MODO/SFP/550M/LC UPC/TL-SM311LM</t>
  </si>
  <si>
    <t>RE-29270118-4</t>
  </si>
  <si>
    <t xml:space="preserve">ROUTER INALAMBRICO TP-LINK/N150/4 PUERTOS/TL-WR740N
</t>
  </si>
  <si>
    <t>RE-198270-02</t>
  </si>
  <si>
    <t>TARJETA DE RED USB INALAMBRICA TP-LINK/ALTA POTENCIA/N150/TL-WN7200ND</t>
  </si>
  <si>
    <t>TM-394270-3</t>
  </si>
  <si>
    <t>TARJETA MADRE ASROCK X99M KILLER/3.1 DDR4 USB3.1 SOC 2011-3 SLI M2</t>
  </si>
  <si>
    <t>TM-354214-11</t>
  </si>
  <si>
    <t>TARJETA MADRE ASROCK X570 STEEL LEGEND WIFI AX AM4 RYZEN GEN/3 PCIe/4.</t>
  </si>
  <si>
    <t>TM-394210-18</t>
  </si>
  <si>
    <t>TARJETA MADRE ASROCK H110 PRO BTC + MINING CON 13 RANURAS PCI EXPRESS</t>
  </si>
  <si>
    <t>AC-393779-3</t>
  </si>
  <si>
    <t>KIT TECLADO Y MOUSE ASUS ALAMBRICO USB NEGRO U2000</t>
  </si>
  <si>
    <t>TM-393710-90</t>
  </si>
  <si>
    <t>TARJETA MADRE ASUS MAXIMUS IX EXTREME DDR4 4133 MHz 3n Wi-Fi HDMI</t>
  </si>
  <si>
    <t>TM-393714-13</t>
  </si>
  <si>
    <t>TARJETA MADRE ASUS ROG STRIX X299-E GAMING II WIFI6, USB3.2 M.2 DDR4</t>
  </si>
  <si>
    <t>TM-393714-12</t>
  </si>
  <si>
    <t>TARJETA MADRE ASUS PRIME X299-A II SERIE X VROC M.2 DDR4 4266 USB3.2</t>
  </si>
  <si>
    <t>TM-393710-137</t>
  </si>
  <si>
    <t>TARJETA MADRE ASUS P10S-E/4L 1151 VGA PORT DUAL M.2</t>
  </si>
  <si>
    <t>RE-433778-24</t>
  </si>
  <si>
    <t xml:space="preserve">ROUTER INALAMBRICO ASUS RT-AC1750 B1 DUALBAND 2.4 &amp; 5GHZ 2USB AIMESH
</t>
  </si>
  <si>
    <t>EQ-513711-3</t>
  </si>
  <si>
    <t>MINI PC ASUS CHROMEBOX 3-N019U Ci3-7100U 8GB 32GB M.2 SSD HDMI BT4</t>
  </si>
  <si>
    <t>GA-383714-4</t>
  </si>
  <si>
    <t>ENFRIAMIENTO LIQUIDO ASUS ROG STRIX LC 120 AURA SYNC RGB 120MM</t>
  </si>
  <si>
    <t>AC-393710-6</t>
  </si>
  <si>
    <t>MOUSE ASUS ROG GLADIUS II ORIGIN OPTICO GAMING AURA</t>
  </si>
  <si>
    <t>TM-393786-3</t>
  </si>
  <si>
    <t>TARJETA MADRE ASUS P9A-I/C2750/SAS/4L 2DDR3 PCIe 8x CAJA</t>
  </si>
  <si>
    <t>MO-20272123-1</t>
  </si>
  <si>
    <t>MONITOR ASUS VS208N-P LED 20" (1600x900) NEGRO</t>
  </si>
  <si>
    <t>TM-393710-12</t>
  </si>
  <si>
    <t>TARJETA MADRE ASUS Z170-DELUXE DDR4 HDMI/DisplayPort 1151 CAJA</t>
  </si>
  <si>
    <t>TM-393710-11</t>
  </si>
  <si>
    <t>TARJETA MADRE ASUS MAXIMUS VIII GENE DDR4 HDMI/DisplayPort 1151 CAJA</t>
  </si>
  <si>
    <t>AC-393797-6</t>
  </si>
  <si>
    <t xml:space="preserve">TECLADO ASUS XA01 ROG STRIX FLARE/SV/US COD
</t>
  </si>
  <si>
    <t>AC-393797-5</t>
  </si>
  <si>
    <t xml:space="preserve">TECLADO ASUS XA01 ROG STRIX FLARE/RD/US
</t>
  </si>
  <si>
    <t>MO-202243-9</t>
  </si>
  <si>
    <t>MONITOR ASUS VS197D-P LED 18.5" (1366X768) WIDE SCREEN NEGRO</t>
  </si>
  <si>
    <t>AC-393710-8</t>
  </si>
  <si>
    <t>MOUSE ASUS P303 ROG STRIX IMPACT//MS 3310, 4 BUTTONS, 5000DPI</t>
  </si>
  <si>
    <t>MO-411370-3</t>
  </si>
  <si>
    <t>MONITOR ASUS VS207D-P LED 19.5" (1600x900) VGA WIDE SCREEN NEGRO</t>
  </si>
  <si>
    <t>RE-356370-1</t>
  </si>
  <si>
    <t>ANTENA AMPLIFICADORA ASUS WL-ANT-151 2.4GHZ 5DBI</t>
  </si>
  <si>
    <t>EQ-513187-2</t>
  </si>
  <si>
    <t>MINI PC ECS LIVA Z N4200 1.1GHZ 4/32GB HDMI/MINIDP W10(95-198-KW7020)</t>
  </si>
  <si>
    <t>EQ-513186-22</t>
  </si>
  <si>
    <t>MINIPC LIVA Q N3350 4GB/32GB eMMC/WIFI/BT/HDMI/WIN10 (95-692-ND2148)</t>
  </si>
  <si>
    <t>EQ-513187-4</t>
  </si>
  <si>
    <t>MINIPC ECS LIVA Q2 N5000 4GB/64GB WIFI BT HDMI WIN10 (95-695-ND9141)</t>
  </si>
  <si>
    <t>EQ-513186-23</t>
  </si>
  <si>
    <t>MINI PC LIVA Q2 N4000 4GB/64GB WiFi BT HDMI WIN10  (95-695-ND9142)</t>
  </si>
  <si>
    <t>EQ-513186-5</t>
  </si>
  <si>
    <t>MINI PC ECS LIVA Z N3350 1.1GHZ 4/32GB HDMI/MINIDP
(95-198-KW7015)</t>
  </si>
  <si>
    <t>EN-384693-9</t>
  </si>
  <si>
    <t>FUENTE DE PODER EVGA 100-BR-0450-K1 450W BR 80 PLUS BRONZE</t>
  </si>
  <si>
    <t>PR-533086-56</t>
  </si>
  <si>
    <t>CPU INTEL XEON QUAD-CORE E5430 2.66GHZ 1333MHZ 771PIN 12MB PASSIVE</t>
  </si>
  <si>
    <t>PR-373310-21</t>
  </si>
  <si>
    <t>CPU INTEL CORE I5 7400 3.0GHZ 6MB 65W SOC1151 7TH GEN (BX80677I57400)</t>
  </si>
  <si>
    <t>TV-415372-17</t>
  </si>
  <si>
    <t>TARJETA DE VIDEO PNY VCQP4000-PB QUADRO NVIDIA P4000 8GB GDDR5 CUDA</t>
  </si>
  <si>
    <t>DD-455385-9</t>
  </si>
  <si>
    <t>UNIDAD SSD PNY CS1311 480GB SSD7CS1311-480-RB 2.5" SATA3 6GB/S 56</t>
  </si>
  <si>
    <t>TV-365471-12</t>
  </si>
  <si>
    <t>TARJETA DE VIDEO SAPPHIRE PULSE RX550 2G GDDR5 (11268-03-20G)</t>
  </si>
  <si>
    <t>AC-353175-1</t>
  </si>
  <si>
    <t>CONVERTIDOR ACTECK MULTIPUERTO USB TYPE C/HDMI USB 3.0 C700  AC-923071</t>
  </si>
  <si>
    <t>AU-363174-51</t>
  </si>
  <si>
    <t xml:space="preserve">BOCINA ACTECK 2.1 BLUETOOTH CONTROL DE VOL. Y BAJOS S2110  AC-922920
</t>
  </si>
  <si>
    <t>AC-393183-2</t>
  </si>
  <si>
    <t>KIT ACTECK 3 EN 1 TECLADO, MOUSE USB Y BOCINAS NEGRO AK3-2700 WKTE-006</t>
  </si>
  <si>
    <t>AC-393178-6</t>
  </si>
  <si>
    <t>KIT ACTECK VINTAGE T520 KIT TECLADO Y MOUSE INALAMBRICOS BCO AC-923187</t>
  </si>
  <si>
    <t>AU-593174-1</t>
  </si>
  <si>
    <t xml:space="preserve">BARRA DE SONIDO ACTECK 2.0 BLUETOOTH 3W(2) USB-3.5MM SB110 AC-922937
</t>
  </si>
  <si>
    <t>AC-483187-10</t>
  </si>
  <si>
    <t>CELULAR ACTECK BLECK SENSE 5 IN. HD QUAD CORE RAM/8GB 3G/AZUL BL-91631</t>
  </si>
  <si>
    <t>AC-423179-1</t>
  </si>
  <si>
    <t>APUNTADOR ACTECK  PLUG &amp; PLAY NEGRO AC-922111</t>
  </si>
  <si>
    <t>AC-2238104-04</t>
  </si>
  <si>
    <t>MOUSE ACTECK ALAMBRICO MO-200 OPTICO USB ESTANDAR WKMO-001</t>
  </si>
  <si>
    <t>AU-363174-7</t>
  </si>
  <si>
    <t>AUDIFONOS ACTECK ENERGY BT2 BLUETOOTH CYAN CABLE DE CARGA USB</t>
  </si>
  <si>
    <t>AU-363174-27</t>
  </si>
  <si>
    <t>AUDÍFONOS ACTECK ENERGY SISTEM 1 BLUETOOTH GRAPHITE ROJO EY-428410</t>
  </si>
  <si>
    <t>AU-363174-17</t>
  </si>
  <si>
    <t>BOCINA ACTECK ENERGY BLUETOOTH MUSIC BOX BZ6 CABLE USB 2,0</t>
  </si>
  <si>
    <t>AU-363174-28</t>
  </si>
  <si>
    <t>AUDÍFONOS ACTECK ENERGY SISTEM 1 BLUETOOTH GRAPHITE AZUL EY-428342</t>
  </si>
  <si>
    <t>AU-363174-34</t>
  </si>
  <si>
    <t>DIADEMA ACTECK ENERGY SISTEM 1 BLUETOOTH GRAPHITE BLANCO EY-428762</t>
  </si>
  <si>
    <t>AU-376574-3</t>
  </si>
  <si>
    <t>DIADEMA ACTECK ENERGY SISTEM BTSMART ASISTENTE DEVOZ TITANUM EY-446452</t>
  </si>
  <si>
    <t>AU-363174-23</t>
  </si>
  <si>
    <t>DIADEMA ACTECK ENERGY SISTEM 1 BLUETOOTH GRAPHITE AMARILLO EY-429325</t>
  </si>
  <si>
    <t>AU-363174-30</t>
  </si>
  <si>
    <t>AUDÍFONOS ACTECK ENERGY SPORT 1 BLUETOOTH GRAPHITE ROJO EY-427758</t>
  </si>
  <si>
    <t>AU-366574-11</t>
  </si>
  <si>
    <t>BOCINA PORTÁTIL ACTECK ENERGY SISTEM EY BT 3.5 FM RADIO ROSA EY-445943</t>
  </si>
  <si>
    <t>AU-376574-2</t>
  </si>
  <si>
    <t>DIADEMA ACTECK ENERGY SISTEM BTSMART ASISTENTE DEVOZ CARAMEL EY-446636</t>
  </si>
  <si>
    <t>AU-366574-13</t>
  </si>
  <si>
    <t>BOCINA PORTÁTIL ENERGY SISTEM EY BT 3.5 FM RADIO AMARILLO EY-445967</t>
  </si>
  <si>
    <t>AU-363174-25</t>
  </si>
  <si>
    <t>AUDÍFONOS ACTECK ENERGY SISTEM BLUETOOTH NEGRO EY-429219</t>
  </si>
  <si>
    <t>AU-366574-12</t>
  </si>
  <si>
    <t>BOCINA PORTÁTIL ACTECK ENERGY SISTEM EY BT 3.5 FM RADIO AZUL EY-445950</t>
  </si>
  <si>
    <t>AU-363174-31</t>
  </si>
  <si>
    <t>AUDÍFONOS ACTECK ENERGY SPORT 1 BLUETOOTH GRAPHITE AZUL EY-427765</t>
  </si>
  <si>
    <t>AU-376574-7</t>
  </si>
  <si>
    <t>DIADEMA ACTECK ENERGY SISTEM BLUETOOTH TRAVEL 7ANC EY-446247</t>
  </si>
  <si>
    <t>AU-367274-6</t>
  </si>
  <si>
    <t>BOCINA PORTATIL LF ACOUSTICS BT 4.2 5W 12 HRS ANTHEM ROJO LA-924528</t>
  </si>
  <si>
    <t>AU-367274-5</t>
  </si>
  <si>
    <t>BOCINA PORTATIL LF ACOUSTICS BT TWS STEREO 5W EMPATH NEGRO LA-926003</t>
  </si>
  <si>
    <t>AU-367274-2</t>
  </si>
  <si>
    <t>BOCINA PORTATIL LF ACOUSTICS BT4.2 5W 12 HRS ANTHEM NEGRO LA-927192</t>
  </si>
  <si>
    <t>AU-367278-5</t>
  </si>
  <si>
    <t xml:space="preserve">AUDIFONOS LF ACOUSTICS BT 4.2+ERD 20mW 3.5 MM JUGGLE GRIS LA- 928281
</t>
  </si>
  <si>
    <t>AU-367274-3</t>
  </si>
  <si>
    <t>BOCINA PORTATIL LF ACOUSTICS BT 4.2 5W 12 HRS ANTHEM GRIS LA-927185</t>
  </si>
  <si>
    <t>AU-365074-49</t>
  </si>
  <si>
    <t>BOCINA LOGITECH WONDERBOOM 2 BLACK (984-001554)</t>
  </si>
  <si>
    <t>AC-487012-18</t>
  </si>
  <si>
    <t xml:space="preserve">POWER BANK ACTECK MOBIFREE 16K MAH COLOR ROJO CON DISPLAY MB-923569
</t>
  </si>
  <si>
    <t>AC-487012-17</t>
  </si>
  <si>
    <t xml:space="preserve">POWER BANK ACTECK MOBIFREE 16K MAH COLOR VERDE CON DISPLAY MB-923552
</t>
  </si>
  <si>
    <t>AC-487012-15</t>
  </si>
  <si>
    <t xml:space="preserve">POWER BANK ACTECK MOBIFREE 16K MAH COLOR GRIS CON DISPLAY MB-923538
</t>
  </si>
  <si>
    <t>AC-487012-16</t>
  </si>
  <si>
    <t xml:space="preserve">POWER BANK ACTECK MOBIFREE 16K MAH COLOR AZUL CON DISPLAY MB-923545
</t>
  </si>
  <si>
    <t>AC-487012-10</t>
  </si>
  <si>
    <t>POWER BANK ACTECK  8K MAH CARGA INALÁMBRICA C/LINTERNA NEGRO MB-923408</t>
  </si>
  <si>
    <t>AC-487012-19</t>
  </si>
  <si>
    <t xml:space="preserve">POWER BANK ACTECK MOBIFREE 20K MAH COLOR NEGRO CON DISPLAY MB-923576
</t>
  </si>
  <si>
    <t>AU-363172-37</t>
  </si>
  <si>
    <t>AUDÍFONOS ACTECK ON-EAR CON MICROFONO METÁLICOS DORADO MB-02010</t>
  </si>
  <si>
    <t>AC-487078-1</t>
  </si>
  <si>
    <t>BASE DE CARGA MOBIFREE INALÁMBRICA  ACTECK NEGRO MB-923392</t>
  </si>
  <si>
    <t>AC-487012-13</t>
  </si>
  <si>
    <t xml:space="preserve">POWER BANK ACTECK MOBIFREE 10K MAH COLOR VERDE CON DISPLAY MB-923514
</t>
  </si>
  <si>
    <t>TE-347074-5</t>
  </si>
  <si>
    <t xml:space="preserve">HOLDER MOBIFREE MAGNETICO PARA PORTAVASO ACTECK MB-923293
</t>
  </si>
  <si>
    <t>AU-363174-46</t>
  </si>
  <si>
    <t>AUDIFONOS ACTECK IN-EAR BLUETOOTH CON MICROFONO AZUL MB-02023</t>
  </si>
  <si>
    <t>AU-363174-44</t>
  </si>
  <si>
    <t>AUDIFONOS ACTECK IN-EAR BLUETOOTH CON MICROFONO ROSA MB-02021</t>
  </si>
  <si>
    <t>AC-487012-8</t>
  </si>
  <si>
    <t>POWER BANK ACTECK MOBIFREE 6K MAH COLOR VERDE CON DISPLAY MB-923477</t>
  </si>
  <si>
    <t>AC-567012-1</t>
  </si>
  <si>
    <t xml:space="preserve">CARGADOR DE PARED 3 PUERTOS USB BLANCO ACTECK MOBIFREE MB-923378
</t>
  </si>
  <si>
    <t>AU-363174-45</t>
  </si>
  <si>
    <t>AUDIFONOS ACTECK IN-EAR BLUETOOTH CON MICROFONO GRIS MB-02022</t>
  </si>
  <si>
    <t>AC-487012-14</t>
  </si>
  <si>
    <t xml:space="preserve">POWER BANK ACTECK MOBIFREE 10K MAH COLOR ROJO CON DISPLAY MB-923521
</t>
  </si>
  <si>
    <t>AC-487012-6</t>
  </si>
  <si>
    <t>POWER BANK ACTECK MOBIFREE 6K MAH COLOR GRIS CON DISPLAY MB-923453</t>
  </si>
  <si>
    <t>AU-363174-47</t>
  </si>
  <si>
    <t>AUDIFONOS ACTECK IN-EAR BLUETOOTH CON MICROFONO MORADO MB-02024</t>
  </si>
  <si>
    <t>AC-487012-5</t>
  </si>
  <si>
    <t>POWER BANK ACTECK MOBIFREE 4K MAH COLOR ROSE GOLD MB-923439</t>
  </si>
  <si>
    <t>AU-363172-19</t>
  </si>
  <si>
    <t>AUDIFONOS ACTECK IN-EAR CON MICROFONO METALICOS GRIS MB-02017</t>
  </si>
  <si>
    <t>AC-487012-3</t>
  </si>
  <si>
    <t>POWER BANK ACTECK MOBIFREE 4K MAH COLOR GOLD MB-923446</t>
  </si>
  <si>
    <t>AU-363172-30</t>
  </si>
  <si>
    <t>AUDIFONOS ACTECK IN-EAR CON MICROFONO URBAN KAOS LILA MB-916417</t>
  </si>
  <si>
    <t>TE-347074-4</t>
  </si>
  <si>
    <t xml:space="preserve">HOLDER MOUNT MOBIFREE PARA VENTILA ACTECK MB-923286
</t>
  </si>
  <si>
    <t>AU-363174-37</t>
  </si>
  <si>
    <t>BOCINA ACTECK PORTATIL BLUETOOTH URBAN KAOS LILA MB-916455</t>
  </si>
  <si>
    <t>AU-566232-10</t>
  </si>
  <si>
    <t>BOCINA PERFECT CHOICE PC-112211 SERIAL GRIS/MORADO</t>
  </si>
  <si>
    <t>AU-366574-15</t>
  </si>
  <si>
    <t>BOCINA STYLOS BLUETOOTH, NEGRO, 5V, IOS/ANDROID (STSCUX1B)</t>
  </si>
  <si>
    <t>AC-426579-1</t>
  </si>
  <si>
    <t>APUNTADOR STYLOS NEGRO UNIVERSAL, USB, 200 MTS, 2.4 G (STAPRL1B)</t>
  </si>
  <si>
    <t>AU-366572-2</t>
  </si>
  <si>
    <t>AUDÍFONOS STYLOS AL AUX 3.5 AZUL STSAUA1A</t>
  </si>
  <si>
    <t>AU-376572-1</t>
  </si>
  <si>
    <t>DIADEMA STYLOS NEGRA/BT/ C MICROFONO ERGONOMICAS  STSHEB1B</t>
  </si>
  <si>
    <t>AC-443173-2</t>
  </si>
  <si>
    <t>TECLADO ACTECK ALAMBRICO MULTIMEDIA USB NEGRO TRUE BASIX TB-916738</t>
  </si>
  <si>
    <t>AC-483674-1</t>
  </si>
  <si>
    <t>BOCINA BLUETOOTH VERBATIM 2 EN 1 AUDIO/LUZ LED 98594</t>
  </si>
  <si>
    <t>UG-686112-2</t>
  </si>
  <si>
    <t>DVD WRITER VINPOWER INTERNO PX-891SAF 24X SATA NEGRO</t>
  </si>
  <si>
    <t>GA-389619-1</t>
  </si>
  <si>
    <t>GABINETE VINPOWER ASA SERIES DUPLICATOR CASE 9 BAHIAS</t>
  </si>
  <si>
    <t>AU-365874-5</t>
  </si>
  <si>
    <t>AUDIFONOS VORAGO PREMIUM EPB-600 BLUETOOTH NEGRO CONTROL DE VOLUMEN</t>
  </si>
  <si>
    <t>AC-415874-8</t>
  </si>
  <si>
    <t>MOCHILA VORAGO BP-200 SPORT LAPTOP 15.6" POLYESTER AZUL (BP-200-BL)</t>
  </si>
  <si>
    <t>AC-415811-6</t>
  </si>
  <si>
    <t>MOCHILA GAMEFACTOR BPG600, 15.6", RÍGIDA, SEGURIDAD, CANDADO, NEGRA</t>
  </si>
  <si>
    <t>AU-365874-11</t>
  </si>
  <si>
    <t>AUDIFONOS SPORT VORAGO ESB-300 ROJO BLUETOOTH MANOS LIBRES</t>
  </si>
  <si>
    <t>AC-345874-2</t>
  </si>
  <si>
    <t>MANOS LIBRES VORAGO BTE-201 BLUETOOTH</t>
  </si>
  <si>
    <t>AC-51216104-37</t>
  </si>
  <si>
    <t>CONECTOR ADAPTADOR  VGA MACHO A DVI HEMBRA</t>
  </si>
  <si>
    <t>AC-415874-5</t>
  </si>
  <si>
    <t xml:space="preserve">MOCHILA VORAGO BP-200 SPORT LAPTOP 15.6" POLYESTER ROJO (BP-200-RD)
</t>
  </si>
  <si>
    <t>AU-365874-24</t>
  </si>
  <si>
    <t>AUDIFONOS SPORT VORAGO ESB-301-RD ROJO BLUETOOTH MANOS LIBRES</t>
  </si>
  <si>
    <t>AU-365874-10</t>
  </si>
  <si>
    <t>AUDIFONOS SPORT VORAGO ESB-300 AZUL BLUETOOTH MANOS LIBRES</t>
  </si>
  <si>
    <t>AC-415874-4</t>
  </si>
  <si>
    <t>MOCHILA VORAGO BP-200 SPORT LAPTOP 15.6" POLYESTER NEGRO (BP-200-BK)</t>
  </si>
  <si>
    <t>AU-378585-4</t>
  </si>
  <si>
    <t>DIADEMA VORAGO ALTA  FIDELIDAD HP-204 AZUL CABLE PLANO MANOS LIBRES</t>
  </si>
  <si>
    <t>AU-375874-2</t>
  </si>
  <si>
    <t>DIADEMA VORAGO PREMIUM HPB-601 BLUETOOTH/ 3.5MM NEGRO</t>
  </si>
  <si>
    <t>AC-485812-2</t>
  </si>
  <si>
    <t>POWER BANK VORAGO PB-400 10000 mAh ROSA 2 ENTRADAS USB</t>
  </si>
  <si>
    <t>AU-365874-26</t>
  </si>
  <si>
    <t>AUDIFONOS SPORT VORAGO ESB-301-BL AZUL BLUETOOTH MANOS LIBRES</t>
  </si>
  <si>
    <t>AC-387585-1</t>
  </si>
  <si>
    <t>FUNDA VORAGO DE NEOPRENO TIPO SLEEVE PARA TABLET DE 10</t>
  </si>
  <si>
    <t>AU-655814-1</t>
  </si>
  <si>
    <t>AUTOESTEREO VORAGO CAR-300/DESMONTABLE NEGRO/4X5WATTS FM-AM / BT / USB</t>
  </si>
  <si>
    <t>AU-365872-3</t>
  </si>
  <si>
    <t>AUDIFONOS VORAGO PREMIUM EP-600 3.5MM NEGRO MANOS LIBRES CTRL DE VOL</t>
  </si>
  <si>
    <t>AC-415873-7</t>
  </si>
  <si>
    <t>MOUSE VORAGO MO-206 ROJO 2400 DPI USB</t>
  </si>
  <si>
    <t>AU-365874-2</t>
  </si>
  <si>
    <t>BOCINAS VORAGO SPB-400 BLUETOOTH 2.1 NEGRO/ PLATA</t>
  </si>
  <si>
    <t>AC-345896-2</t>
  </si>
  <si>
    <t>POWER BANK VORAGO AU-107 2600 mAh BLANCO/ ROSA</t>
  </si>
  <si>
    <t>AU-365872-8</t>
  </si>
  <si>
    <t>AUDIFONOS SPORT VORAGO ES-100 AZUL MANOS LIBRES 3.5MM</t>
  </si>
  <si>
    <t>AC-345896-8</t>
  </si>
  <si>
    <t>POWER BANK VORAGO AU-300 12000 mAh BLANCO/ROSA</t>
  </si>
  <si>
    <t>AC-387585-3</t>
  </si>
  <si>
    <t>FUNDA TABLET VORAGO TC-301 NEGRA/CREMA PARA TABLET 7.85"</t>
  </si>
  <si>
    <t>AC-485896-5</t>
  </si>
  <si>
    <t>TAPETE PARA MOUSE VORAGO MP-100 AZUL</t>
  </si>
  <si>
    <t>AC-412585-9</t>
  </si>
  <si>
    <t>MOUSE VORAGO  MO-408 OPTICO  800/1200/2100/3400 DPI ALAMBRICO NEGRO</t>
  </si>
  <si>
    <t>AU-378585-6</t>
  </si>
  <si>
    <t>DIADEMA VORAGO ALTA  FIDELIDAD HP-204 AMARILLO CABLE PLANO MANOS LIBRE</t>
  </si>
  <si>
    <t>AC-345896-3</t>
  </si>
  <si>
    <t>POWER BANK VORAGO AU-107 2600 mAh BLANCO/ MORADO</t>
  </si>
  <si>
    <t>AC-365896-2</t>
  </si>
  <si>
    <t>AUDIFONOS VORAGO EP-204 AMARILLO MICROFONO 3.5MM</t>
  </si>
  <si>
    <t>AC-345896-9</t>
  </si>
  <si>
    <t>POWER BANK VORAGO AU-300 12000 mAh BLANCO/MORADO</t>
  </si>
  <si>
    <t>AC-415880-1</t>
  </si>
  <si>
    <t>MOUSE VORAGO OPTICO MULTIMEDIA 2000 DPI USB NEGRO MO-405</t>
  </si>
  <si>
    <t>AU-365872-5</t>
  </si>
  <si>
    <t>AUDIFONOS SPORT VORAGO ES-100 NARANJA MANOS LIBRES 3.5MM</t>
  </si>
  <si>
    <t>AC-415873-5</t>
  </si>
  <si>
    <t>MOUSE VORAGO MO-206 NEGRO 2400 DPI USB</t>
  </si>
  <si>
    <t>AC-387585-4</t>
  </si>
  <si>
    <t>FUNDA TABLET VORAGO TC-301 NEGRA PARA  TABLET 7.85"</t>
  </si>
  <si>
    <t>AC-485812-4</t>
  </si>
  <si>
    <t>POWER BANK VORAGO PB-400 10000 mAh NEGRO 2 ENTRADAS USB</t>
  </si>
  <si>
    <t>AC-349585-5</t>
  </si>
  <si>
    <t>POWER BANK VORAGO AU-107 2600 MAH NEGRO/AZUL</t>
  </si>
  <si>
    <t>AC-387585-6</t>
  </si>
  <si>
    <t>FUNDA TABLET VORAGO TC-300 NEGRA/CREMA PARA TABLET  9.7"</t>
  </si>
  <si>
    <t>AC-51216104-14</t>
  </si>
  <si>
    <t>CABLE VORAGO USB/AB 2.0 CAB-100  1.5  MTS</t>
  </si>
  <si>
    <t>AC-950663-18</t>
  </si>
  <si>
    <t>KIT VORAGO KM-103 TECLADO Y MOUSE ALAMBRICO MULTIMEDIA USB + PS2</t>
  </si>
  <si>
    <t>AC-345896-1</t>
  </si>
  <si>
    <t>POWER BANK VORAGO AU-107 2600 mAh NEGRO/ROJO</t>
  </si>
  <si>
    <t>AU-365585-3</t>
  </si>
  <si>
    <t>BOCINAS VORAGO SPK-102 PASIVAS PARA COMPUTADORA 2.0</t>
  </si>
  <si>
    <t>AU-365585-14</t>
  </si>
  <si>
    <t>BOCINAS VORAGO BSP-300 BLUETOOTH NEGRA/AZUL</t>
  </si>
  <si>
    <t>AC-485898-8</t>
  </si>
  <si>
    <t>POWER BANK VORAGO AU-301 12000 mAh NEGRO/ROSA</t>
  </si>
  <si>
    <t>AC-353585-6</t>
  </si>
  <si>
    <t>CARGADOR DE PARED VORAGO 2 PUERTOS AU-100</t>
  </si>
  <si>
    <t>AC-387585-5</t>
  </si>
  <si>
    <t>FUNDA TABLET VORAGO TC-300 NEGRA PARA TABLET 9.7"</t>
  </si>
  <si>
    <t>TE-50216104-2</t>
  </si>
  <si>
    <t>TECLADO VORAGO KB-200 ULTRADELGADO MULTIMEDIA USB NEGRO PIANO</t>
  </si>
  <si>
    <t>AC-425896-3</t>
  </si>
  <si>
    <t>MICA PARA CELULAR VORAGO MI-302 5.5"  IPHONE 6 PLUS CRISTAL TEMPLADO</t>
  </si>
  <si>
    <t>AC-425896-1</t>
  </si>
  <si>
    <t>MICA PARA CELULAR VORAGO MI-300 4"  IPHONE 5 CRISTAL TEMPLADO</t>
  </si>
  <si>
    <t>AC-385891-2</t>
  </si>
  <si>
    <t>FUNDA TABLET VORAGO TC-124 BLANCA GOMA 7"</t>
  </si>
  <si>
    <t>AC-485812-25</t>
  </si>
  <si>
    <t>POWER BANK VORAGO 2200 mAh NEGRO/ROSA BLISTER C/CABLE PB-150-PK</t>
  </si>
  <si>
    <t>AC-485812-24</t>
  </si>
  <si>
    <t>POWER BANK VORAGO 2200 mAh NEGRO/MORADO BLISTER C/CABLE PB-150-PR</t>
  </si>
  <si>
    <t>LI-58216485-1</t>
  </si>
  <si>
    <t>TOALLAS HUMEDAS VORAGO 20 UNIDADES CLN-102</t>
  </si>
  <si>
    <t>AC-485810-3</t>
  </si>
  <si>
    <t>POWER BANK VORAGO AU-109 2200 mAh NEGRO/MORADO BOLSA / SIN CABLE</t>
  </si>
  <si>
    <t>AU-364174-1</t>
  </si>
  <si>
    <t>AUDIFONOS MANOS LIBRES GETTTECH GAP-29702 BT 4.2 NEG/ROJO GE-200</t>
  </si>
  <si>
    <t>AU-367174-7</t>
  </si>
  <si>
    <t>BOCINA GETTTECH GBH-31505 DESM 2EN1 BT 4.2 MIC/3.5MM, RES AGUA NEGRO</t>
  </si>
  <si>
    <t>AU-367174-17</t>
  </si>
  <si>
    <t>MINI BOCINA GETTTECH BLUETOOTH LITTLE TV (GAO-31507)</t>
  </si>
  <si>
    <t>AU-367174-12</t>
  </si>
  <si>
    <t>BOCINA GETTTECHGBS-31504R BT 4.2 MIC 3.5MM, MICSD, RES AGUA, ROJO BEAT</t>
  </si>
  <si>
    <t>AU-367174-15</t>
  </si>
  <si>
    <t>MINI BOCINA GETTTECH BLUETOOTH LITTLE PIG (GAO-31503)</t>
  </si>
  <si>
    <t>AU-367174-4</t>
  </si>
  <si>
    <t>BOCINA GETTTECH GBS-31504N BT 4.2 MIC/3.5MM,MICSD, RES AGUA, NEGRO BEA</t>
  </si>
  <si>
    <t>AC-487115-2</t>
  </si>
  <si>
    <t>SOPORTE GETTTECH TW-1432 PARA DVD CRISTAL-ALUMINIO/PESO MAX 10KG</t>
  </si>
  <si>
    <t>AU-367171-2</t>
  </si>
  <si>
    <t>BOCINAS USB 2.0 GETTTECH SG-20U ESTEREO 2.0/3.5MM/6W RMS</t>
  </si>
  <si>
    <t>AC-487113-1</t>
  </si>
  <si>
    <t>SOPORTE GETTTECH TW-1404 PARA 2 PANTALLAS DE 10-30"/PESO MAX 10KG</t>
  </si>
  <si>
    <t>AU-367174-13</t>
  </si>
  <si>
    <t>MINI BOCINA GETTTECH BLUETOOTH LITTLE MOUSE (GAM-31506)</t>
  </si>
  <si>
    <t>AU-377174-5</t>
  </si>
  <si>
    <t>DIADEMA GETTTECH JOY NEGRO GDJ-33201N BT/TF/FM/AUX 250MAH REV GOMA</t>
  </si>
  <si>
    <t>AU-367174-10</t>
  </si>
  <si>
    <t>AUDIFONOS MANOS LIBRES GETTTECH GAT-29701B BLUETOOTH 4.1 BLANCOTUNE</t>
  </si>
  <si>
    <t>AU-367174-6</t>
  </si>
  <si>
    <t>BOCINA GETTTECH GAL-31502R BT 4.2 MIC, 3.5MM, MICSD, ROJO LOUD SG-230</t>
  </si>
  <si>
    <t>AU-367174-11</t>
  </si>
  <si>
    <t>AUDIFONOS MANOS LIBRES GETTTECH GAT-29701N BLUETOOTH 4.1 NEGRO TUNE</t>
  </si>
  <si>
    <t>AU-367174-5</t>
  </si>
  <si>
    <t>BOCINA GETTTECH GAL-31502N BT 4.2 MIC, 3.5MM, MICSD, NEGRO LOUD SG-230</t>
  </si>
  <si>
    <t>AC-487115-1</t>
  </si>
  <si>
    <t>SOPORTE GETTTECH TW-0930 PARA PANTALLA DE 37-70"/PESO MAX 50KG</t>
  </si>
  <si>
    <t>EN-567178-1</t>
  </si>
  <si>
    <t>CARGADOR INALAMBRICO GETTTECH GCS-69201 CARGA RAPIDA MODO LED, APOLLO</t>
  </si>
  <si>
    <t>AU-367174-2</t>
  </si>
  <si>
    <t>MINI BOCINA GETTTECH GAM-31501R BT4.2 MELODIC/MICROSD ROJO SG-220</t>
  </si>
  <si>
    <t>AU-367174-1</t>
  </si>
  <si>
    <t>MINI BOCINA GETTTECH GAM-31501N BT4.2 MELODIC/MICROSD NEGRO SG-220</t>
  </si>
  <si>
    <t>AC-417174-1</t>
  </si>
  <si>
    <t>MOUSE VERTICAL INALAMB.GETTTECH GMO24401 2.4GHZ/10M/WIN/MAC/3DPI</t>
  </si>
  <si>
    <t>AU-367174-18</t>
  </si>
  <si>
    <t>MINI BOCINA GETTTECH BLUETOOTH LITTLE WHALE (GAW-31508)</t>
  </si>
  <si>
    <t>AC-487112-3</t>
  </si>
  <si>
    <t>SOPORTE GETTTECH TW-1064 PARA PANTALLA DE 17-42"/PESO MAX 25KG</t>
  </si>
  <si>
    <t>AU-367174-16</t>
  </si>
  <si>
    <t>MINI BOCINA GETTTECH BLUETOOTH LITTLE RABBIT (GAR-31510)</t>
  </si>
  <si>
    <t>AU-367174-14</t>
  </si>
  <si>
    <t xml:space="preserve">MINI BOCINA GETTTECH BLUETOOTH LITTLE OWL (GAO-31509)
</t>
  </si>
  <si>
    <t>AU-377172-3</t>
  </si>
  <si>
    <t>DIADEMA HEADSET GETTTECH GH-2000N MESH/3.5MM/C MIC/NEGRO</t>
  </si>
  <si>
    <t>AC-377114-1</t>
  </si>
  <si>
    <t>HUB  TIPO C WIRELESS GETTTECH GHW-69401 HDMI/RJ45/SD/TF/USB/3.5MM</t>
  </si>
  <si>
    <t>AU-377172-2</t>
  </si>
  <si>
    <t>DIADEMA HEADSET GETTTECH GH-2000S MESH/3.5MM/C MIC/SILVER</t>
  </si>
  <si>
    <t>AC-577110-1</t>
  </si>
  <si>
    <t>MOUSEPAD GETTTECH GTS-28001N REPOSA MUÑECAS ESPUMA DE MEMORIA ERG</t>
  </si>
  <si>
    <t>AU-367172-1</t>
  </si>
  <si>
    <t>AUDIFONOS AURICULAR GETTTECH SMOOTH MI-2140R C/MIC NEGRO C/ROJO 3.5MM</t>
  </si>
  <si>
    <t>AU-367172-2</t>
  </si>
  <si>
    <t>AUDIFONOS AURICULAR GETTTECH SMOOTH MI-2140G NEGRO C/GRIS 3.5MM</t>
  </si>
  <si>
    <t>AC-367183-1</t>
  </si>
  <si>
    <t>CABLE USB 2.0 GETTTECH JL-3570 USB A-LIGHTNING/NEGRO/1.5MTS</t>
  </si>
  <si>
    <t>AU-377172-6</t>
  </si>
  <si>
    <t>DIADEMA HEADSET GETTTECH GH-3100P SONORITY 3.5MM/C MIC/ROSA</t>
  </si>
  <si>
    <t>AC-367183-2</t>
  </si>
  <si>
    <t>CABLE USB 2.0 GETTTECH JL-3510/USB A-MICRO USB/NEGRO/1.5MTS</t>
  </si>
  <si>
    <t>AC-577179-1</t>
  </si>
  <si>
    <t>CANDADO PARA LAPTOP GETTTECHQQL-001 DE COMBINACION T KENSINGTON 1.2MTS</t>
  </si>
  <si>
    <t>AC-367178-1</t>
  </si>
  <si>
    <t>CABLE HDMI 2.0 GETTTECH JL-1101/MACHO-MACHO/NEGRO/1.5MTS</t>
  </si>
  <si>
    <t>AC-367183-3</t>
  </si>
  <si>
    <t>CABLE USB 2.0 GETTTECH JL-3513/USB A-USB TIPO C/NEGRO/1.5MTS</t>
  </si>
  <si>
    <t>AU-377172-4</t>
  </si>
  <si>
    <t>DIADEMA HEADSET GETTTECH GH-3100N SONORITY 3.5MM/C MIC/NEGRO</t>
  </si>
  <si>
    <t>AC-367183-5</t>
  </si>
  <si>
    <t>CABLE USB 2.0 GETTTECH JL-3520 USB A-EXTENSION/NEGRO/1.5MTS</t>
  </si>
  <si>
    <t>AU-377172-8</t>
  </si>
  <si>
    <t>DIADEMA HEADSET GETTTECH GH-3500G REVEAL 3.5MM/C MIC/GRIS</t>
  </si>
  <si>
    <t>AC-367184-1</t>
  </si>
  <si>
    <t>CABLE VGA GETTTECH JLA-3506/MACHO-MACHO/NEGRO/1.5MTS</t>
  </si>
  <si>
    <t>AU-377172-5</t>
  </si>
  <si>
    <t>DIADEMA HEADSET GETTTECH GH-3100R SONORITY 3.5MM/C MIC/ROJO</t>
  </si>
  <si>
    <t>AC-596697-1</t>
  </si>
  <si>
    <t>PROYECTOR HOLOGRAFICO QIAN LED 3D BENXI QTD-3D165 8GB</t>
  </si>
  <si>
    <t>EQ-516613-1</t>
  </si>
  <si>
    <t>MINI PC QIAN QMPW1904 CORE I3, 4GB, 64GB, VESA</t>
  </si>
  <si>
    <t>SD-706611-1</t>
  </si>
  <si>
    <t>KIOSKO TOTEM INTERACTIVO QIAN QKM-64401 55",4K,4GB,WIFI,BT,ANDROI7.1</t>
  </si>
  <si>
    <t>AC-446697-3</t>
  </si>
  <si>
    <t>TECLADO QIAN QACTB18003 SHEJI BLUETOOTH 3.0 COMPACTO BAT RECARGABLE</t>
  </si>
  <si>
    <t>EQ-526610-5</t>
  </si>
  <si>
    <t>DESKTOP QIAN SLIM BAO QCS1714 CORE I7, 8GB, 1TB, WIN10PRO, KIT T/M</t>
  </si>
  <si>
    <t>PV-446697-1</t>
  </si>
  <si>
    <t>TECLADO QIAN QPA1702 ALAMBRICO POS NEGRO MULTIMEDIA EXTENDIDO</t>
  </si>
  <si>
    <t>PV-526683-1</t>
  </si>
  <si>
    <t>TORRETA POS QIAN QPA17001 PANTALLA BRILLANTE190MMX60MM, USB</t>
  </si>
  <si>
    <t>SG-366611-4</t>
  </si>
  <si>
    <t>CAMARA QIAN BULLET PTZ YAO QCMPD1701 IR 30-50 MTS, 4X, IP66</t>
  </si>
  <si>
    <t>AC-446678-1</t>
  </si>
  <si>
    <t>TECLADO QIANQACTB18004 SHEJI BLUETOOTH 3.0 EXTENDIDO BAT RECARGABLE</t>
  </si>
  <si>
    <t>EQ-526610-9</t>
  </si>
  <si>
    <t>DESKTOP QIAN MINI DUAN Q7001 QCMT1709 COREI7,16GB,1TB,WIN10PRO,KIT T/M</t>
  </si>
  <si>
    <t>AC-396612-1</t>
  </si>
  <si>
    <t>EST DE CARGA MOV QIAN GONG-LU PLUS1300 QST-PB130,13000mAh,4USB,ACR10"</t>
  </si>
  <si>
    <t>PV-446697-2</t>
  </si>
  <si>
    <t>TECLADO ALAMBRICO POS QIAN NEGRO LECTOR  DE  BANDA  (QPA1703)</t>
  </si>
  <si>
    <t>SG-236615-3</t>
  </si>
  <si>
    <t>DVR QIAN YAOQSS-DVR4H 4 CANALES FULL HD 1080N, PENTAHIBRIDO,H264 P/1DD</t>
  </si>
  <si>
    <t>SG-366611-6</t>
  </si>
  <si>
    <t>SMART DOORBELL QIANQDBSM180001 RESOLUCION 480X 320 P, INALAMBRICO</t>
  </si>
  <si>
    <t>AC-396697-1</t>
  </si>
  <si>
    <t>KIT TECLADO+MOUSE XIE WIRELESS QIANQAKI18001 TEC EXT, MOUSE 1000 DPI</t>
  </si>
  <si>
    <t>SG-236615-1</t>
  </si>
  <si>
    <t>DVR QIAN YAOQSS-DVR16H 16 CANALES FULL HD 1080N, PENTAHIBRIDO</t>
  </si>
  <si>
    <t>SG-366673-1</t>
  </si>
  <si>
    <t>CAMARA QIAN YAO BULLET PTZ 1080P IR 30-50 MTS (QCBP1701)</t>
  </si>
  <si>
    <t>AC-446674-2</t>
  </si>
  <si>
    <t>TECLADO BLUETOOTH QIAN SHENJI QACTB18001 EXT, BT 3.0 WIN / ANDROID/IOS</t>
  </si>
  <si>
    <t>PV-396680-1</t>
  </si>
  <si>
    <t>MINI PRINTER ANJET 76 QIMP761701 MATRIZ DE PUNTO USB CORTE MANUAL 76MM</t>
  </si>
  <si>
    <t>EN-496613-1</t>
  </si>
  <si>
    <t>BARRA DE MULTI CONTACTOS QIAN PINYAO EN260 6 CONTACTOS2 PUERTOS USB</t>
  </si>
  <si>
    <t>SG-386673-2</t>
  </si>
  <si>
    <t>FUENTE DE PODER QIANQAY-60302 CENTRALIZADA PARACCTV VIDEOVIGILANCIA</t>
  </si>
  <si>
    <t>AC-366614-1</t>
  </si>
  <si>
    <t>CABLE EXTENSION USB QIAN QCU18001A/R J50 LONGITUD 240 CM</t>
  </si>
  <si>
    <t>SD-486691-1</t>
  </si>
  <si>
    <t>ESTACION DE CARGA CON PANTALLA7" QTBPB18001 PANTALLA TACTIL,ANDROID5.1</t>
  </si>
  <si>
    <t>EQ-526611-13</t>
  </si>
  <si>
    <t>DESKTOP QIAN SLIM BAO QCS1713 CORE I5, 4GB, 1TB, WIN10PRO</t>
  </si>
  <si>
    <t>SG-236615-2</t>
  </si>
  <si>
    <t>DVR QIAN YAOQSS-DVR8H 8 CANALES FULL HD 1080N, PENTAHIBRIDO,H264 P/1DD</t>
  </si>
  <si>
    <t>PV-406611-1</t>
  </si>
  <si>
    <t>LECTOR CODIGO DE BARRAS QIAN TIAOMA QLCW1701,USB,1D,WIRELESS, 350± 50</t>
  </si>
  <si>
    <t>SG-366611-7</t>
  </si>
  <si>
    <t>CAMARA BULLET 1080PQIAN YAO QCBAX18001 IR 15 MTS, EXTERIOR, 2MPX</t>
  </si>
  <si>
    <t>EQ-526611-18</t>
  </si>
  <si>
    <t>DESKTOP QIAN SLIM BAO QCS1711 CORE I5, 4GB, 1 TB, WIN10 PRO, KIT T/M</t>
  </si>
  <si>
    <t>AC-576611-1</t>
  </si>
  <si>
    <t>CANDADO PARA TABLETA QIAN TS0050 YUNNAN CON SENSOR EN LA BASE</t>
  </si>
  <si>
    <t>CB-586696-1</t>
  </si>
  <si>
    <t>MULTIMETRO DIGITAL QIAN QAD-690010 PROFESIONAL MED DE CORRIENTE DIANLI</t>
  </si>
  <si>
    <t>AC-486612-1</t>
  </si>
  <si>
    <t>EST DE CARGA MOV QIAN GONG-LU 1301SQFT-PB13S 4USB, 13,000 mAh, ACR 10"</t>
  </si>
  <si>
    <t>AC-446674-1</t>
  </si>
  <si>
    <t>TECLADO QIAN QACTB18002 SHEJI BLUETOOTH 3.0 TOUCHPAD</t>
  </si>
  <si>
    <t>AC-366674-1</t>
  </si>
  <si>
    <t>SPEAKER CONFERENCIAS QIAN TAN QRBT1801, MICROFONO ,BLUETOOTH 4.0</t>
  </si>
  <si>
    <t>SG-236610-1</t>
  </si>
  <si>
    <t>DVR 16 CANALES QIAN YAO QDVR161701P SOPORTA CAMARAS FULL HD</t>
  </si>
  <si>
    <t>EQ-516611-3</t>
  </si>
  <si>
    <t>MINI PC QIAN QMPW19052 XIAO CORE I5, WIFI, ETHERNET, W10 PRO</t>
  </si>
  <si>
    <t>MO-636679-1</t>
  </si>
  <si>
    <t>MONITOR 15.4LED QIANQM1538001 HD VGA 1280X 800</t>
  </si>
  <si>
    <t>SG-716696-1</t>
  </si>
  <si>
    <t>DETECTOR DE HUMO QIAN QAH-60001 INALAM SENS SONIDO, LED BATERIA INC</t>
  </si>
  <si>
    <t>RE-346678-2</t>
  </si>
  <si>
    <t>ENCHUFE INTELIGENTE QIAN WIFI DAKAI ALEXA/GOOGLE HOME (2pzas) (SH1800)</t>
  </si>
  <si>
    <t>SG-346673-2</t>
  </si>
  <si>
    <t>CABLE QIAN QAO-60303 BNCBALUN / COAXIAL PARA CCTV VIDEOVIGILANCIA</t>
  </si>
  <si>
    <t>SG-366673-4</t>
  </si>
  <si>
    <t>CABLE QIAN QAY-60304 TIPO PULPO 4 CONECT MACHO / 1 HEMBRA 2.1MM</t>
  </si>
  <si>
    <t>AC-416678-1</t>
  </si>
  <si>
    <t>MOUSE OPTICO INALAMBRICO QIAN DIAN QAMI18001 1600 DPI WIRELESS</t>
  </si>
  <si>
    <t>AC-624113-1</t>
  </si>
  <si>
    <t>CABLE DE RED PATCHCORD QIAN LIANJE NW1C5 CAT 5eDE 2 METROS</t>
  </si>
  <si>
    <t>CB-626612-1</t>
  </si>
  <si>
    <t>CABLE DE RED PATCHCORD QIAN LIANJE NW1C6 CAT6 DE 2 METROS</t>
  </si>
  <si>
    <t>SG-346673-3</t>
  </si>
  <si>
    <t>CONECTOR QIAN QAY-60305 CAT5-CAT6 UTP AUDIO / RCA HEMBRA / VIDEO</t>
  </si>
  <si>
    <t>PV-376680-5</t>
  </si>
  <si>
    <t>ROLLO DE ETIQUETAS QIAN QCT-406001 TERMICASANJET 102 x 152 mm1 PZA.</t>
  </si>
  <si>
    <t>SG-366611-3</t>
  </si>
  <si>
    <t>CAMARA BULLET PTZ QIAN YAO QCBP1701 PIR 30 MTS, EXTERIOR, 2MPX</t>
  </si>
  <si>
    <t>EQ-526611-15</t>
  </si>
  <si>
    <t>PC QIAN SLIM BAO / i38100 / 3.6GHz / 8GB / 1TB WIN10 PRO QCS180011</t>
  </si>
  <si>
    <t>EQ-526610-6</t>
  </si>
  <si>
    <t>DESKTOP QIAN SLIM BAO QCS1715 CORE I7, 16GB, 1TB, WIN10PRO</t>
  </si>
  <si>
    <t>BU-406679-7</t>
  </si>
  <si>
    <t>KIT CCTV QIAN YAO 4 CAMS DVR PENTA 4 CH (QKC4D41901) + DD 1TB (SEAGATE</t>
  </si>
  <si>
    <t>PV-346680-1</t>
  </si>
  <si>
    <t>ROLLO DE PAPEL QIAN ANJET QCT804010 TERMICO 80MM x 40MM10 PZAS.</t>
  </si>
  <si>
    <t>PV-656610-1</t>
  </si>
  <si>
    <t>TERMINAL PUNTO DE VENTA ALL IN ONE QIAN 15"+12"ZHIFU QPAW21801, W10PRO</t>
  </si>
  <si>
    <t>SG-346673-5</t>
  </si>
  <si>
    <t>ADAPTADOR DE ENERGIA QIAN QAY-60307 HEMBRA TIPO JACK 3.5 CCTV</t>
  </si>
  <si>
    <t>EQ-526610-14</t>
  </si>
  <si>
    <t>CTO QIAN QMPW190011 MINI DUAN RYZEN5 /8GB/1TB/TV2GB/DVD/W10P/450W/KIT</t>
  </si>
  <si>
    <t>AC-486696-1</t>
  </si>
  <si>
    <t>DISPOSITIVO DE COMUNICACION QIAN GONG -LU 1300 QST-SD130, INALAMBRICO</t>
  </si>
  <si>
    <t>MO-546679-1</t>
  </si>
  <si>
    <t>MONITOR 21.5" LED QIAN QM211701 1920x1080 VGA HDMI VESA</t>
  </si>
  <si>
    <t>SG-366679-2</t>
  </si>
  <si>
    <t>CAMARA PANORAMICA INALAMB QIAN YAN 180° QC1801701, INTERIOR, 720P HD</t>
  </si>
  <si>
    <t>EQ-416610-1</t>
  </si>
  <si>
    <t>NOTEBOOK QIAN QNB1701 14 YI CELERON N3350, 32GB EMMC, 500GB, W10 PRO</t>
  </si>
  <si>
    <t>PV-506610-4</t>
  </si>
  <si>
    <t>POS AIO 15" + 12" WINDOWS 80MM (QPAW1801)</t>
  </si>
  <si>
    <t>PUNTO DE VENTA</t>
  </si>
  <si>
    <t>QIAN</t>
  </si>
  <si>
    <t>VP-416613-2</t>
  </si>
  <si>
    <t>PANTALLA PROYECCION MANUAL QIANGUDING QPG-69504 136"BLANCA MATE</t>
  </si>
  <si>
    <t>EQ-526611-9</t>
  </si>
  <si>
    <t>PC QIAN SLIM BAO I3-7100 4GB 1TB SLIM WID 10 PRO (QCS1701W10P)</t>
  </si>
  <si>
    <t>EQ-416687-1</t>
  </si>
  <si>
    <t>NOTEBOOK YI QIAN 14" QNB1702 PENTIUM N4200 W10PRO 4GB RAM 32MMC+ 500GB</t>
  </si>
  <si>
    <t>MO-416610-1</t>
  </si>
  <si>
    <t>MONITOR TOUCH QIAN (QMT151701) 15" 1024X768 4:3 500/1 250CD</t>
  </si>
  <si>
    <t>PV-376680-1</t>
  </si>
  <si>
    <t>ROLLO DE PAPEL QIAN QCBA767006 AUTOCOPIABLE ANJET 76MM x 70MM 6 PZAS.</t>
  </si>
  <si>
    <t>VP-416612-1</t>
  </si>
  <si>
    <t>PANTALLA PROYECCION TRIPIE QIANDIBANQPD-69602 100" BLANCA MATE</t>
  </si>
  <si>
    <t>SG-366611-8</t>
  </si>
  <si>
    <t>CAMARA PARANORAMICA INALAMBRICA QIAN YAN 360° QC360X18001 EXTERIOR</t>
  </si>
  <si>
    <t>EQ-526686-9</t>
  </si>
  <si>
    <t>DESKTOP QIAN QDICS1Q20A SLIM BAO, CEL3355, 4GB, SSD120, + KIT T/M</t>
  </si>
  <si>
    <t>MO-536679-1</t>
  </si>
  <si>
    <t>MONITOR QIAN 23.8" QM2328001 FULLHD VGA/HDMI 5MS 1000:1 BOCINAS 2X2W</t>
  </si>
  <si>
    <t>VP-416613-1</t>
  </si>
  <si>
    <t>PANTALLA PROYECCION TRIPIE QIANDIBANQPD-69603 120"BLANCA MATE</t>
  </si>
  <si>
    <t>SD-516683-7</t>
  </si>
  <si>
    <t>QIAN YEWU VIDEO CALENDARIO 4.3" (QVC431801)</t>
  </si>
  <si>
    <t>MO-416684-1</t>
  </si>
  <si>
    <t>MONITOR QIAN 19.5"  (TN panel)</t>
  </si>
  <si>
    <t>SG-236610-3</t>
  </si>
  <si>
    <t>DVR 4 CANALES QIAN YAO QDVR041701P SOPORTA CAMARAS FULL HD,H264</t>
  </si>
  <si>
    <t>SD-516683-4</t>
  </si>
  <si>
    <t>VIDEO BROCHURE QIAN YEWU QVO071802 VIDEO BOX 7"</t>
  </si>
  <si>
    <t>SD-516683-6</t>
  </si>
  <si>
    <t>VIDEO BROCHURE QIAN YEWUQVB281801 2.8"</t>
  </si>
  <si>
    <t>SD-516683-5</t>
  </si>
  <si>
    <t>QIAN YEWU VIDEO BROCHURE 10" (QVB101801)</t>
  </si>
  <si>
    <t>PV-426695-1</t>
  </si>
  <si>
    <t>PL-3825 PAQUETE DE ETIQUETAS CON 100 HOJAS DE 6.6 cm x 2.54 cm</t>
  </si>
  <si>
    <t>PV-406674-1</t>
  </si>
  <si>
    <t>LECTOR DE CODIGO DE BARRAS QIAN TIAMO QLBT1701 QIAN LASER TIAOMA BT,1D</t>
  </si>
  <si>
    <t>SD-516683-8</t>
  </si>
  <si>
    <t>QIAN YEWU VIDEO BROCHURE 7" (QVB071801)</t>
  </si>
  <si>
    <t>PV-426695-2</t>
  </si>
  <si>
    <t>PL-5160 PAQUETE DE ETIQUETAS CON 100 HOJAS DE 3.8 CM x 2.54 CM</t>
  </si>
  <si>
    <t>SG-366611-1</t>
  </si>
  <si>
    <t>CAMARA PARONAMICA INALAMBRICA QIAN YAN 360° QC3601701 INTERIOR,1.3 MPX</t>
  </si>
  <si>
    <t>SG-366611-2</t>
  </si>
  <si>
    <t>CAMARA BULLET QIAN YAO QCBA1701 METAL, 720P HD, IR 20 MTS, IP66</t>
  </si>
  <si>
    <t>SG-366611-5</t>
  </si>
  <si>
    <t>CAMARA DOMO QIAN QCDA1701 METAL 720P, IR 20 MTS, AHD, IP66</t>
  </si>
  <si>
    <t>AC-396673-1</t>
  </si>
  <si>
    <t>KIT DE TECLADO Y MOUSE ALAMBRICO QIAN QKTM1701 USB ESP</t>
  </si>
  <si>
    <t>SD-516683-3</t>
  </si>
  <si>
    <t>VIDEOCATALOGO QIAN 4GB/6BOTONES/ CARTA, CARGA PROGRA (SSTVB03)</t>
  </si>
  <si>
    <t>AU-376974-1</t>
  </si>
  <si>
    <t>BASE HEADSET HUB OVERPOWER SERIE 1000 YEYIAN (YAO-29201N)</t>
  </si>
  <si>
    <t>AC-396911-2</t>
  </si>
  <si>
    <t>MOUSEPAD GAMER YEYIAN YGG-68902 FLEX CARGA/INA RGB ANTI/D GLIDER 2700</t>
  </si>
  <si>
    <t>AC-416973-2</t>
  </si>
  <si>
    <t>MOUSE YEYIAN GAMER MO2001 CLAYMORE 2001 OPTICO RGB 6 BTNS 12000 DPI</t>
  </si>
  <si>
    <t>AC-396911-1</t>
  </si>
  <si>
    <t>MOUSEPAD GAMER YEYIAN YGF-68901 RIG CARGA/INA RGB ANTI/D FLOW 2800</t>
  </si>
  <si>
    <t>AC-416974-1</t>
  </si>
  <si>
    <t>MOCHILA YEYIAN YMS-23801 GAMER PARA LAPTOP 15.6" NEGRA C/ ROJO SHELL</t>
  </si>
  <si>
    <t>EN-366911-2</t>
  </si>
  <si>
    <t>CABLES PSU EXTENSION YEYIAN KS1000A KABEL S1000 AZUL PARA/F DE PODER</t>
  </si>
  <si>
    <t>EN-366911-4</t>
  </si>
  <si>
    <t>CABLES PSU EXTENSION YEYIAN KS1000R KABEL S1000 ROJO PARA/F DE PODER</t>
  </si>
  <si>
    <t>AC-416973-5</t>
  </si>
  <si>
    <t>MOUSE YEYIAN GAMER MO1002 SABRE 1002 OPTICO LED 7 BTNS 1.5MTS/3000 DPI</t>
  </si>
  <si>
    <t>EN-366911-1</t>
  </si>
  <si>
    <t>CABLES PSU EXTENSION YEYIAN KS1000B KABEL S1000 BLANCO PARA/F DE PODER</t>
  </si>
  <si>
    <t>EN-366911-3</t>
  </si>
  <si>
    <t>CABLES PSU EXTENSION YEYIAN KS1000N KABEL S1000 NEGRO PARA/FPODER</t>
  </si>
  <si>
    <t>AC-416973-4</t>
  </si>
  <si>
    <t>MOUSE YEYIAN GAMER MO1000 SABRE 1000 OPTICO LED 6 BTNS 1.5MTS/3200 DPI</t>
  </si>
  <si>
    <t>AC-416973-6</t>
  </si>
  <si>
    <t>MOUSE YEYIAN GAMER MO1003 SABRE1003 OPTICO LED 7 BTNS 1.5MTS/2750 DPI</t>
  </si>
  <si>
    <t>AC-396610-1</t>
  </si>
  <si>
    <t>MOUSEPAD YEYIAN GAMER MP2035 KRIEG 2035 RGB LED ANTIDERRAPANTE</t>
  </si>
  <si>
    <t>AC-396910-3</t>
  </si>
  <si>
    <t>MOUSEPAD YEYIAN GAMER YSS-MP1080N KRIEG 1080 ANTI/D 800*400*3MM</t>
  </si>
  <si>
    <t>AC-416973-3</t>
  </si>
  <si>
    <t>MOUSE YEYIAN YMT-V70 YMT-M2000 CLAYMORE 2000 GAMER OPTICO RGB 7 BTNS</t>
  </si>
  <si>
    <t>MO-536979-1</t>
  </si>
  <si>
    <t>MONITOR 27" YEYIAN GAMING MG2700 ODRAZ 2000/165Hz/1MS/FULLHD</t>
  </si>
  <si>
    <t>AU-366971-1</t>
  </si>
  <si>
    <t>SISTEMA DE AUDIO 2.1 YEYIAN YSK2100 CRIT SERIE 2100 /SD / BT/ FM / USB</t>
  </si>
  <si>
    <t>SO-696270-5</t>
  </si>
  <si>
    <t>ASPEL NOI 9.0- SISTEMA INTEGRAL DE NOMINA LIC. 1 USR ADICIONAL NOI V 9</t>
  </si>
  <si>
    <t>SO-476294-50</t>
  </si>
  <si>
    <t>ASPEL SAE V7.0-SISTEMA ADMINISTRATIVO 1 USR ADICIONAL (SAEL1K)</t>
  </si>
  <si>
    <t>SO-656294-7</t>
  </si>
  <si>
    <t>ASPEL CAJA SISTEMA PUNTO DE VENTA 1 USUARIO ADICIONAL (CAJAL1E)</t>
  </si>
  <si>
    <t>SO-354394-1</t>
  </si>
  <si>
    <t>BITDEFENDER TOTAL SECURITY MULTI-DEVICE OEM 1 YR 1 USR MX</t>
  </si>
  <si>
    <t>SO-11027121-5</t>
  </si>
  <si>
    <t>BITDEFENDER TOTAL SECURITY FAMILY PACK 2011 (2 A?S) 3 USUARIOS</t>
  </si>
  <si>
    <t>SO-356014-17</t>
  </si>
  <si>
    <t>ESET MULTIDEVICE SECURITY 5 LIC V2019 1YR (MUL519)</t>
  </si>
  <si>
    <t>SO-356014-15</t>
  </si>
  <si>
    <t>ESET MULTIDEVICE SECURITY 3 LIC V2019 1YR (MUL319)</t>
  </si>
  <si>
    <t>SO-356014-6</t>
  </si>
  <si>
    <t>ESET MULTIDEVICE SECURITY 5USR 1YR (TMESET-306)</t>
  </si>
  <si>
    <t>SO-356014-21</t>
  </si>
  <si>
    <t>ESET SMART SECURITY PREMIUM 1 LIC V2019 1YR (SSP119)</t>
  </si>
  <si>
    <t>SO-354814-87</t>
  </si>
  <si>
    <t>KASPERSKY ANTI-VIRUS 5USER 1YR( TMKS-169) PROMOCION</t>
  </si>
  <si>
    <t>SO-354814-93</t>
  </si>
  <si>
    <t>BULDLE COMPUTO KASPERSKY INT SECURITY1USR 2YR (TMKS-185/KL1941ZOADS-8)</t>
  </si>
  <si>
    <t>SO-353270-6</t>
  </si>
  <si>
    <t>NORTON SECURITY ESENCIAL 1 DEVICE 1YR(TMNR-002)</t>
  </si>
  <si>
    <t>DISCOS DUROS</t>
  </si>
  <si>
    <t>ADATA</t>
  </si>
  <si>
    <t>MEMORIAS</t>
  </si>
  <si>
    <t>ACCESORIOS</t>
  </si>
  <si>
    <t>BLACKPCS</t>
  </si>
  <si>
    <t>KINGSTON</t>
  </si>
  <si>
    <t>SANDISK</t>
  </si>
  <si>
    <t>SEAGATE</t>
  </si>
  <si>
    <t>TOSHIBA</t>
  </si>
  <si>
    <t>WESTERN DIGITAL</t>
  </si>
  <si>
    <t>COMPUTADORAS</t>
  </si>
  <si>
    <t>DELL</t>
  </si>
  <si>
    <t>SERVIDORES</t>
  </si>
  <si>
    <t>HP</t>
  </si>
  <si>
    <t>TABLETS</t>
  </si>
  <si>
    <t>LENOVO IDEA</t>
  </si>
  <si>
    <t>LENOVO THINK</t>
  </si>
  <si>
    <t>COOLER MASTER</t>
  </si>
  <si>
    <t>GABINETES Y ENFRIAMIENTO</t>
  </si>
  <si>
    <t>CORSAIR</t>
  </si>
  <si>
    <t>AUDIO</t>
  </si>
  <si>
    <t>DRONES</t>
  </si>
  <si>
    <t>DJI</t>
  </si>
  <si>
    <t>ELGATO</t>
  </si>
  <si>
    <t>GAMDIAS</t>
  </si>
  <si>
    <t>TELEVISION</t>
  </si>
  <si>
    <t>LG</t>
  </si>
  <si>
    <t>NECNON</t>
  </si>
  <si>
    <t>STRONG HOLD</t>
  </si>
  <si>
    <t>VIDEOJUEGOS</t>
  </si>
  <si>
    <t>XBOX</t>
  </si>
  <si>
    <t>IMPRESION</t>
  </si>
  <si>
    <t>CANON</t>
  </si>
  <si>
    <t>EPSON</t>
  </si>
  <si>
    <t>PROYECTORES</t>
  </si>
  <si>
    <t>CONSUMIBLES</t>
  </si>
  <si>
    <t>GENERICO</t>
  </si>
  <si>
    <t>HONEYWELL</t>
  </si>
  <si>
    <t>POSLINE</t>
  </si>
  <si>
    <t>ZEBRA</t>
  </si>
  <si>
    <t>REDES</t>
  </si>
  <si>
    <t>AIR LINK</t>
  </si>
  <si>
    <t>CABLEADO ESTRUCTURADO</t>
  </si>
  <si>
    <t>BELDEN</t>
  </si>
  <si>
    <t>ENERGIA</t>
  </si>
  <si>
    <t>CDP</t>
  </si>
  <si>
    <t>D-LINK</t>
  </si>
  <si>
    <t>SEGURIDAD</t>
  </si>
  <si>
    <t>DAHUA</t>
  </si>
  <si>
    <t>EATON</t>
  </si>
  <si>
    <t>INTELLINET</t>
  </si>
  <si>
    <t>KOBLENZ</t>
  </si>
  <si>
    <t>LAVIEW</t>
  </si>
  <si>
    <t>LEVITON</t>
  </si>
  <si>
    <t>LINKSYS</t>
  </si>
  <si>
    <t>LTS</t>
  </si>
  <si>
    <t>MANHATTAN</t>
  </si>
  <si>
    <t>PLANTRONICS</t>
  </si>
  <si>
    <t>TELEFONIA</t>
  </si>
  <si>
    <t>SOLA BASIC</t>
  </si>
  <si>
    <t>TPLINK</t>
  </si>
  <si>
    <t>TARJETAS MADRE</t>
  </si>
  <si>
    <t>ASROCK</t>
  </si>
  <si>
    <t>ASUS</t>
  </si>
  <si>
    <t>MONITORES</t>
  </si>
  <si>
    <t>ECS</t>
  </si>
  <si>
    <t>EVGA</t>
  </si>
  <si>
    <t>PROCESADORES</t>
  </si>
  <si>
    <t>INTEL</t>
  </si>
  <si>
    <t>TARJETAS DE VIDEO</t>
  </si>
  <si>
    <t>PNY</t>
  </si>
  <si>
    <t>SAPPHIRE</t>
  </si>
  <si>
    <t>ACTECK</t>
  </si>
  <si>
    <t>ENERGY SISTEM</t>
  </si>
  <si>
    <t>LF ACOUSTICS</t>
  </si>
  <si>
    <t>LOGITECH</t>
  </si>
  <si>
    <t>MOBIFREE</t>
  </si>
  <si>
    <t>PERFECT CHOICE</t>
  </si>
  <si>
    <t>STYLOS</t>
  </si>
  <si>
    <t>TRUE BASIX</t>
  </si>
  <si>
    <t>VERBATIM</t>
  </si>
  <si>
    <t>OPTICOS</t>
  </si>
  <si>
    <t>VINPOWER</t>
  </si>
  <si>
    <t>VORAGO</t>
  </si>
  <si>
    <t>GETTTECH</t>
  </si>
  <si>
    <t>SEÑALIZACION DIGITAL</t>
  </si>
  <si>
    <t>BUNDLE</t>
  </si>
  <si>
    <t>YEYIAN</t>
  </si>
  <si>
    <t>SOFTWARE</t>
  </si>
  <si>
    <t>ASPEL</t>
  </si>
  <si>
    <t>BITDEFENDER</t>
  </si>
  <si>
    <t>ESET</t>
  </si>
  <si>
    <t>KASPERSKY</t>
  </si>
  <si>
    <t>NORTON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</si>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</sst>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rgb="FF000000"/>
      <name val="Calibri"/>
      <family val="2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44" fontId="5" fillId="0" borderId="0" xfId="0" applyNumberFormat="1" applyFont="1"/>
    <xf numFmtId="0" fontId="3" fillId="4" borderId="2" xfId="0" applyFont="1" applyFill="1" applyBorder="1"/>
    <xf numFmtId="0" fontId="4" fillId="5" borderId="2" xfId="0" applyFont="1" applyFill="1" applyBorder="1"/>
    <xf numFmtId="0" fontId="0" fillId="6" borderId="0" xfId="0" applyFill="1" applyProtection="1">
      <protection locked="0"/>
    </xf>
    <xf numFmtId="0" fontId="0" fillId="6" borderId="0" xfId="0" applyFill="1"/>
  </cellXfs>
  <cellStyles count="2">
    <cellStyle name="20% - Énfasis3" xfId="1" builtinId="3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1088572</xdr:colOff>
      <xdr:row>15</xdr:row>
      <xdr:rowOff>67201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679163-752B-4932-82E1-BDEE101B9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0654393" cy="292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D5221-E0D6-44B3-81FC-FF3F4D68176E}">
  <dimension ref="A1:E619"/>
  <sheetViews>
    <sheetView showGridLines="0" tabSelected="1" zoomScale="70" zoomScaleNormal="70" workbookViewId="0">
      <pane ySplit="17" topLeftCell="A18" activePane="bottomLeft" state="frozen"/>
      <selection pane="bottomLeft" activeCell="F13" sqref="F13"/>
    </sheetView>
  </sheetViews>
  <sheetFormatPr baseColWidth="10" defaultColWidth="11.42578125" defaultRowHeight="15" x14ac:dyDescent="0.25"/>
  <cols>
    <col min="1" max="1" width="22.7109375" style="1" customWidth="1"/>
    <col min="2" max="2" width="75.140625" style="1" bestFit="1" customWidth="1"/>
    <col min="3" max="3" width="27.28515625" style="1" customWidth="1"/>
    <col min="4" max="4" width="18.28515625" style="1" bestFit="1" customWidth="1"/>
    <col min="5" max="5" width="17.140625" bestFit="1" customWidth="1"/>
  </cols>
  <sheetData>
    <row r="1" spans="1:5" x14ac:dyDescent="0.25">
      <c r="A1" s="8"/>
      <c r="B1" s="8"/>
      <c r="C1" s="8"/>
      <c r="D1" s="8"/>
      <c r="E1" s="9"/>
    </row>
    <row r="2" spans="1:5" x14ac:dyDescent="0.25">
      <c r="A2" s="8"/>
      <c r="B2" s="8"/>
      <c r="C2" s="8"/>
      <c r="D2" s="8"/>
      <c r="E2" s="9"/>
    </row>
    <row r="3" spans="1:5" x14ac:dyDescent="0.25">
      <c r="A3" s="8"/>
      <c r="B3" s="8"/>
      <c r="C3" s="8"/>
      <c r="D3" s="8"/>
      <c r="E3" s="9"/>
    </row>
    <row r="4" spans="1:5" x14ac:dyDescent="0.25">
      <c r="A4" s="8"/>
      <c r="B4" s="8"/>
      <c r="C4" s="8"/>
      <c r="D4" s="8"/>
      <c r="E4" s="9"/>
    </row>
    <row r="5" spans="1:5" x14ac:dyDescent="0.25">
      <c r="A5" s="8"/>
      <c r="B5" s="8"/>
      <c r="C5" s="8"/>
      <c r="D5" s="8"/>
      <c r="E5" s="9"/>
    </row>
    <row r="6" spans="1:5" x14ac:dyDescent="0.25">
      <c r="A6" s="8"/>
      <c r="B6" s="8"/>
      <c r="C6" s="8"/>
      <c r="D6" s="8"/>
      <c r="E6" s="9"/>
    </row>
    <row r="7" spans="1:5" x14ac:dyDescent="0.25">
      <c r="A7" s="8"/>
      <c r="B7" s="8"/>
      <c r="C7" s="8"/>
      <c r="D7" s="8"/>
      <c r="E7" s="9"/>
    </row>
    <row r="8" spans="1:5" x14ac:dyDescent="0.25">
      <c r="A8" s="8"/>
      <c r="B8" s="8"/>
      <c r="C8" s="8"/>
      <c r="D8" s="8"/>
      <c r="E8" s="9"/>
    </row>
    <row r="9" spans="1:5" x14ac:dyDescent="0.25">
      <c r="A9" s="8"/>
      <c r="B9" s="8"/>
      <c r="C9" s="8"/>
      <c r="D9" s="8"/>
      <c r="E9" s="9"/>
    </row>
    <row r="10" spans="1:5" x14ac:dyDescent="0.25">
      <c r="A10" s="8"/>
      <c r="B10" s="8"/>
      <c r="C10" s="8"/>
      <c r="D10" s="8"/>
      <c r="E10" s="9"/>
    </row>
    <row r="11" spans="1:5" x14ac:dyDescent="0.25">
      <c r="A11" s="8"/>
      <c r="B11" s="8"/>
      <c r="C11" s="8"/>
      <c r="D11" s="8"/>
      <c r="E11" s="9"/>
    </row>
    <row r="12" spans="1:5" x14ac:dyDescent="0.25">
      <c r="A12" s="8"/>
      <c r="B12" s="8"/>
      <c r="C12" s="8"/>
      <c r="D12" s="8"/>
      <c r="E12" s="9"/>
    </row>
    <row r="13" spans="1:5" x14ac:dyDescent="0.25">
      <c r="A13" s="8"/>
      <c r="B13" s="8"/>
      <c r="C13" s="8"/>
      <c r="D13" s="8"/>
      <c r="E13" s="9"/>
    </row>
    <row r="14" spans="1:5" x14ac:dyDescent="0.25">
      <c r="A14" s="8"/>
      <c r="B14" s="8"/>
      <c r="C14" s="8"/>
      <c r="D14" s="8"/>
      <c r="E14" s="9"/>
    </row>
    <row r="15" spans="1:5" x14ac:dyDescent="0.25">
      <c r="A15" s="8"/>
      <c r="B15" s="8"/>
      <c r="C15" s="8"/>
      <c r="D15" s="8"/>
      <c r="E15" s="9"/>
    </row>
    <row r="16" spans="1:5" ht="6.75" customHeight="1" x14ac:dyDescent="0.25">
      <c r="A16" s="8"/>
      <c r="B16" s="8"/>
      <c r="C16" s="8"/>
      <c r="D16" s="8"/>
      <c r="E16" s="9"/>
    </row>
    <row r="17" spans="1:5" s="2" customFormat="1" ht="60.75" customHeight="1" x14ac:dyDescent="0.25">
      <c r="A17" s="4" t="s">
        <v>0</v>
      </c>
      <c r="B17" s="4" t="s">
        <v>1</v>
      </c>
      <c r="C17" s="4" t="s">
        <v>2</v>
      </c>
      <c r="D17" s="4" t="s">
        <v>3</v>
      </c>
      <c r="E17" s="4" t="s">
        <v>1306</v>
      </c>
    </row>
    <row r="18" spans="1:5" s="3" customFormat="1" ht="33" customHeight="1" x14ac:dyDescent="0.35">
      <c r="A18" s="6" t="s">
        <v>4</v>
      </c>
      <c r="B18" s="7" t="s">
        <v>5</v>
      </c>
      <c r="C18" s="7" t="s">
        <v>1212</v>
      </c>
      <c r="D18" s="7" t="s">
        <v>1213</v>
      </c>
      <c r="E18" s="3" t="str">
        <f>HYPERLINK("https://www.pchmayoreo.com/index.php/catalogsearch/result/?q=DD-453785-7", "Ir a sitio web")</f>
        <v>Ir a sitio web</v>
      </c>
    </row>
    <row r="19" spans="1:5" s="3" customFormat="1" ht="33" customHeight="1" x14ac:dyDescent="0.35">
      <c r="A19" s="6" t="s">
        <v>6</v>
      </c>
      <c r="B19" s="7" t="s">
        <v>7</v>
      </c>
      <c r="C19" s="7" t="s">
        <v>1212</v>
      </c>
      <c r="D19" s="7" t="s">
        <v>1213</v>
      </c>
      <c r="E19" s="3" t="str">
        <f>HYPERLINK("https://www.pchmayoreo.com/index.php/catalogsearch/result/?q=DD-383712-12", "Ir a sitio web")</f>
        <v>Ir a sitio web</v>
      </c>
    </row>
    <row r="20" spans="1:5" s="3" customFormat="1" ht="33" customHeight="1" x14ac:dyDescent="0.35">
      <c r="A20" s="6" t="s">
        <v>8</v>
      </c>
      <c r="B20" s="7" t="s">
        <v>9</v>
      </c>
      <c r="C20" s="7" t="s">
        <v>1214</v>
      </c>
      <c r="D20" s="7" t="s">
        <v>1213</v>
      </c>
      <c r="E20" s="3" t="str">
        <f>HYPERLINK("https://www.pchmayoreo.com/index.php/catalogsearch/result/?q=ME-1157520-3", "Ir a sitio web")</f>
        <v>Ir a sitio web</v>
      </c>
    </row>
    <row r="21" spans="1:5" s="3" customFormat="1" ht="33" customHeight="1" x14ac:dyDescent="0.35">
      <c r="A21" s="6" t="s">
        <v>10</v>
      </c>
      <c r="B21" s="7" t="s">
        <v>11</v>
      </c>
      <c r="C21" s="7" t="s">
        <v>1212</v>
      </c>
      <c r="D21" s="7" t="s">
        <v>1213</v>
      </c>
      <c r="E21" s="3" t="str">
        <f>HYPERLINK("https://www.pchmayoreo.com/index.php/catalogsearch/result/?q=DD-453712-1", "Ir a sitio web")</f>
        <v>Ir a sitio web</v>
      </c>
    </row>
    <row r="22" spans="1:5" s="3" customFormat="1" ht="33" customHeight="1" x14ac:dyDescent="0.35">
      <c r="A22" s="6" t="s">
        <v>12</v>
      </c>
      <c r="B22" s="7" t="s">
        <v>13</v>
      </c>
      <c r="C22" s="7" t="s">
        <v>1212</v>
      </c>
      <c r="D22" s="7" t="s">
        <v>1213</v>
      </c>
      <c r="E22" s="3" t="str">
        <f>HYPERLINK("https://www.pchmayoreo.com/index.php/catalogsearch/result/?q=DD-453712-2", "Ir a sitio web")</f>
        <v>Ir a sitio web</v>
      </c>
    </row>
    <row r="23" spans="1:5" s="3" customFormat="1" ht="33" customHeight="1" x14ac:dyDescent="0.35">
      <c r="A23" s="6" t="s">
        <v>14</v>
      </c>
      <c r="B23" s="7" t="s">
        <v>15</v>
      </c>
      <c r="C23" s="7" t="s">
        <v>1215</v>
      </c>
      <c r="D23" s="7" t="s">
        <v>1213</v>
      </c>
      <c r="E23" s="3" t="str">
        <f>HYPERLINK("https://www.pchmayoreo.com/index.php/catalogsearch/result/?q=AC-413773-1", "Ir a sitio web")</f>
        <v>Ir a sitio web</v>
      </c>
    </row>
    <row r="24" spans="1:5" s="3" customFormat="1" ht="33" customHeight="1" x14ac:dyDescent="0.35">
      <c r="A24" s="6" t="s">
        <v>16</v>
      </c>
      <c r="B24" s="7" t="s">
        <v>17</v>
      </c>
      <c r="C24" s="7" t="s">
        <v>1214</v>
      </c>
      <c r="D24" s="7" t="s">
        <v>1213</v>
      </c>
      <c r="E24" s="3" t="str">
        <f>HYPERLINK("https://www.pchmayoreo.com/index.php/catalogsearch/result/?q=ME-397520-2", "Ir a sitio web")</f>
        <v>Ir a sitio web</v>
      </c>
    </row>
    <row r="25" spans="1:5" s="3" customFormat="1" ht="33" customHeight="1" x14ac:dyDescent="0.35">
      <c r="A25" s="6" t="s">
        <v>18</v>
      </c>
      <c r="B25" s="7" t="s">
        <v>19</v>
      </c>
      <c r="C25" s="7" t="s">
        <v>1215</v>
      </c>
      <c r="D25" s="7" t="s">
        <v>1216</v>
      </c>
      <c r="E25" s="3" t="str">
        <f>HYPERLINK("https://www.pchmayoreo.com/index.php/catalogsearch/result/?q=AC-366714-75", "Ir a sitio web")</f>
        <v>Ir a sitio web</v>
      </c>
    </row>
    <row r="26" spans="1:5" s="3" customFormat="1" ht="33" customHeight="1" x14ac:dyDescent="0.35">
      <c r="A26" s="6" t="s">
        <v>20</v>
      </c>
      <c r="B26" s="7" t="s">
        <v>21</v>
      </c>
      <c r="C26" s="7" t="s">
        <v>1215</v>
      </c>
      <c r="D26" s="7" t="s">
        <v>1216</v>
      </c>
      <c r="E26" s="3" t="str">
        <f>HYPERLINK("https://www.pchmayoreo.com/index.php/catalogsearch/result/?q=AC-446778-3", "Ir a sitio web")</f>
        <v>Ir a sitio web</v>
      </c>
    </row>
    <row r="27" spans="1:5" s="3" customFormat="1" ht="33" customHeight="1" x14ac:dyDescent="0.35">
      <c r="A27" s="6" t="s">
        <v>22</v>
      </c>
      <c r="B27" s="7" t="s">
        <v>23</v>
      </c>
      <c r="C27" s="7" t="s">
        <v>1215</v>
      </c>
      <c r="D27" s="7" t="s">
        <v>1216</v>
      </c>
      <c r="E27" s="3" t="str">
        <f>HYPERLINK("https://www.pchmayoreo.com/index.php/catalogsearch/result/?q=AC-486712-19", "Ir a sitio web")</f>
        <v>Ir a sitio web</v>
      </c>
    </row>
    <row r="28" spans="1:5" s="3" customFormat="1" ht="33" customHeight="1" x14ac:dyDescent="0.35">
      <c r="A28" s="6" t="s">
        <v>24</v>
      </c>
      <c r="B28" s="7" t="s">
        <v>25</v>
      </c>
      <c r="C28" s="7" t="s">
        <v>1215</v>
      </c>
      <c r="D28" s="7" t="s">
        <v>1216</v>
      </c>
      <c r="E28" s="3" t="str">
        <f>HYPERLINK("https://www.pchmayoreo.com/index.php/catalogsearch/result/?q=AC-486712-18", "Ir a sitio web")</f>
        <v>Ir a sitio web</v>
      </c>
    </row>
    <row r="29" spans="1:5" s="3" customFormat="1" ht="33" customHeight="1" x14ac:dyDescent="0.35">
      <c r="A29" s="6" t="s">
        <v>26</v>
      </c>
      <c r="B29" s="7" t="s">
        <v>27</v>
      </c>
      <c r="C29" s="7" t="s">
        <v>1215</v>
      </c>
      <c r="D29" s="7" t="s">
        <v>1216</v>
      </c>
      <c r="E29" s="3" t="str">
        <f>HYPERLINK("https://www.pchmayoreo.com/index.php/catalogsearch/result/?q=AC-366714-85", "Ir a sitio web")</f>
        <v>Ir a sitio web</v>
      </c>
    </row>
    <row r="30" spans="1:5" s="3" customFormat="1" ht="33" customHeight="1" x14ac:dyDescent="0.35">
      <c r="A30" s="6" t="s">
        <v>28</v>
      </c>
      <c r="B30" s="7" t="s">
        <v>29</v>
      </c>
      <c r="C30" s="7" t="s">
        <v>1214</v>
      </c>
      <c r="D30" s="7" t="s">
        <v>1216</v>
      </c>
      <c r="E30" s="3" t="str">
        <f>HYPERLINK("https://www.pchmayoreo.com/index.php/catalogsearch/result/?q=ME-606772-61", "Ir a sitio web")</f>
        <v>Ir a sitio web</v>
      </c>
    </row>
    <row r="31" spans="1:5" s="3" customFormat="1" ht="33" customHeight="1" x14ac:dyDescent="0.35">
      <c r="A31" s="6" t="s">
        <v>30</v>
      </c>
      <c r="B31" s="7" t="s">
        <v>31</v>
      </c>
      <c r="C31" s="7" t="s">
        <v>1215</v>
      </c>
      <c r="D31" s="7" t="s">
        <v>1216</v>
      </c>
      <c r="E31" s="3" t="str">
        <f>HYPERLINK("https://www.pchmayoreo.com/index.php/catalogsearch/result/?q=AC-366714-76", "Ir a sitio web")</f>
        <v>Ir a sitio web</v>
      </c>
    </row>
    <row r="32" spans="1:5" s="3" customFormat="1" ht="33" customHeight="1" x14ac:dyDescent="0.35">
      <c r="A32" s="6" t="s">
        <v>32</v>
      </c>
      <c r="B32" s="7" t="s">
        <v>33</v>
      </c>
      <c r="C32" s="7" t="s">
        <v>1215</v>
      </c>
      <c r="D32" s="7" t="s">
        <v>1216</v>
      </c>
      <c r="E32" s="3" t="str">
        <f>HYPERLINK("https://www.pchmayoreo.com/index.php/catalogsearch/result/?q=AC-366714-52", "Ir a sitio web")</f>
        <v>Ir a sitio web</v>
      </c>
    </row>
    <row r="33" spans="1:5" s="3" customFormat="1" ht="33" customHeight="1" x14ac:dyDescent="0.35">
      <c r="A33" s="6" t="s">
        <v>34</v>
      </c>
      <c r="B33" s="7" t="s">
        <v>35</v>
      </c>
      <c r="C33" s="7" t="s">
        <v>1215</v>
      </c>
      <c r="D33" s="7" t="s">
        <v>1216</v>
      </c>
      <c r="E33" s="3" t="str">
        <f>HYPERLINK("https://www.pchmayoreo.com/index.php/catalogsearch/result/?q=AC-566712-4", "Ir a sitio web")</f>
        <v>Ir a sitio web</v>
      </c>
    </row>
    <row r="34" spans="1:5" s="3" customFormat="1" ht="33" customHeight="1" x14ac:dyDescent="0.35">
      <c r="A34" s="6" t="s">
        <v>36</v>
      </c>
      <c r="B34" s="7" t="s">
        <v>37</v>
      </c>
      <c r="C34" s="7" t="s">
        <v>1215</v>
      </c>
      <c r="D34" s="7" t="s">
        <v>1216</v>
      </c>
      <c r="E34" s="3" t="str">
        <f>HYPERLINK("https://www.pchmayoreo.com/index.php/catalogsearch/result/?q=AC-376772-2", "Ir a sitio web")</f>
        <v>Ir a sitio web</v>
      </c>
    </row>
    <row r="35" spans="1:5" s="3" customFormat="1" ht="33" customHeight="1" x14ac:dyDescent="0.35">
      <c r="A35" s="6" t="s">
        <v>38</v>
      </c>
      <c r="B35" s="7" t="s">
        <v>39</v>
      </c>
      <c r="C35" s="7" t="s">
        <v>1215</v>
      </c>
      <c r="D35" s="7" t="s">
        <v>1216</v>
      </c>
      <c r="E35" s="3" t="str">
        <f>HYPERLINK("https://www.pchmayoreo.com/index.php/catalogsearch/result/?q=AC-566712-17", "Ir a sitio web")</f>
        <v>Ir a sitio web</v>
      </c>
    </row>
    <row r="36" spans="1:5" s="3" customFormat="1" ht="33" customHeight="1" x14ac:dyDescent="0.35">
      <c r="A36" s="6" t="s">
        <v>40</v>
      </c>
      <c r="B36" s="7" t="s">
        <v>41</v>
      </c>
      <c r="C36" s="7" t="s">
        <v>1215</v>
      </c>
      <c r="D36" s="7" t="s">
        <v>1216</v>
      </c>
      <c r="E36" s="3" t="str">
        <f>HYPERLINK("https://www.pchmayoreo.com/index.php/catalogsearch/result/?q=AC-566712-12", "Ir a sitio web")</f>
        <v>Ir a sitio web</v>
      </c>
    </row>
    <row r="37" spans="1:5" s="3" customFormat="1" ht="33" customHeight="1" x14ac:dyDescent="0.35">
      <c r="A37" s="6" t="s">
        <v>42</v>
      </c>
      <c r="B37" s="7" t="s">
        <v>43</v>
      </c>
      <c r="C37" s="7" t="s">
        <v>1214</v>
      </c>
      <c r="D37" s="7" t="s">
        <v>1217</v>
      </c>
      <c r="E37" s="3" t="str">
        <f>HYPERLINK("https://www.pchmayoreo.com/index.php/catalogsearch/result/?q=ME-403372-12", "Ir a sitio web")</f>
        <v>Ir a sitio web</v>
      </c>
    </row>
    <row r="38" spans="1:5" s="3" customFormat="1" ht="33" customHeight="1" x14ac:dyDescent="0.35">
      <c r="A38" s="6" t="s">
        <v>44</v>
      </c>
      <c r="B38" s="7" t="s">
        <v>45</v>
      </c>
      <c r="C38" s="7" t="s">
        <v>1214</v>
      </c>
      <c r="D38" s="7" t="s">
        <v>1217</v>
      </c>
      <c r="E38" s="3" t="str">
        <f>HYPERLINK("https://www.pchmayoreo.com/index.php/catalogsearch/result/?q=ME-603372-20", "Ir a sitio web")</f>
        <v>Ir a sitio web</v>
      </c>
    </row>
    <row r="39" spans="1:5" s="3" customFormat="1" ht="33" customHeight="1" x14ac:dyDescent="0.35">
      <c r="A39" s="6" t="s">
        <v>46</v>
      </c>
      <c r="B39" s="7" t="s">
        <v>47</v>
      </c>
      <c r="C39" s="7" t="s">
        <v>1212</v>
      </c>
      <c r="D39" s="7" t="s">
        <v>1217</v>
      </c>
      <c r="E39" s="3" t="str">
        <f>HYPERLINK("https://www.pchmayoreo.com/index.php/catalogsearch/result/?q=DD-453385-3", "Ir a sitio web")</f>
        <v>Ir a sitio web</v>
      </c>
    </row>
    <row r="40" spans="1:5" s="3" customFormat="1" ht="33" customHeight="1" x14ac:dyDescent="0.35">
      <c r="A40" s="6" t="s">
        <v>48</v>
      </c>
      <c r="B40" s="7" t="s">
        <v>49</v>
      </c>
      <c r="C40" s="7" t="s">
        <v>1214</v>
      </c>
      <c r="D40" s="7" t="s">
        <v>1217</v>
      </c>
      <c r="E40" s="3" t="str">
        <f>HYPERLINK("https://www.pchmayoreo.com/index.php/catalogsearch/result/?q=ME-423371-9", "Ir a sitio web")</f>
        <v>Ir a sitio web</v>
      </c>
    </row>
    <row r="41" spans="1:5" s="3" customFormat="1" ht="33" customHeight="1" x14ac:dyDescent="0.35">
      <c r="A41" s="6" t="s">
        <v>50</v>
      </c>
      <c r="B41" s="7" t="s">
        <v>51</v>
      </c>
      <c r="C41" s="7" t="s">
        <v>1212</v>
      </c>
      <c r="D41" s="7" t="s">
        <v>1217</v>
      </c>
      <c r="E41" s="3" t="str">
        <f>HYPERLINK("https://www.pchmayoreo.com/index.php/catalogsearch/result/?q=DD-20823507-01", "Ir a sitio web")</f>
        <v>Ir a sitio web</v>
      </c>
    </row>
    <row r="42" spans="1:5" s="3" customFormat="1" ht="33" customHeight="1" x14ac:dyDescent="0.35">
      <c r="A42" s="6" t="s">
        <v>52</v>
      </c>
      <c r="B42" s="7" t="s">
        <v>53</v>
      </c>
      <c r="C42" s="7" t="s">
        <v>1215</v>
      </c>
      <c r="D42" s="7" t="s">
        <v>1217</v>
      </c>
      <c r="E42" s="3" t="str">
        <f>HYPERLINK("https://www.pchmayoreo.com/index.php/catalogsearch/result/?q=ME-642372-8", "Ir a sitio web")</f>
        <v>Ir a sitio web</v>
      </c>
    </row>
    <row r="43" spans="1:5" s="3" customFormat="1" ht="33" customHeight="1" x14ac:dyDescent="0.35">
      <c r="A43" s="6" t="s">
        <v>54</v>
      </c>
      <c r="B43" s="7" t="s">
        <v>55</v>
      </c>
      <c r="C43" s="7" t="s">
        <v>1214</v>
      </c>
      <c r="D43" s="7" t="s">
        <v>1217</v>
      </c>
      <c r="E43" s="3" t="str">
        <f>HYPERLINK("https://www.pchmayoreo.com/index.php/catalogsearch/result/?q=ME-403371-1", "Ir a sitio web")</f>
        <v>Ir a sitio web</v>
      </c>
    </row>
    <row r="44" spans="1:5" s="3" customFormat="1" ht="33" customHeight="1" x14ac:dyDescent="0.35">
      <c r="A44" s="6" t="s">
        <v>56</v>
      </c>
      <c r="B44" s="7" t="s">
        <v>57</v>
      </c>
      <c r="C44" s="7" t="s">
        <v>1214</v>
      </c>
      <c r="D44" s="7" t="s">
        <v>1218</v>
      </c>
      <c r="E44" s="3" t="str">
        <f>HYPERLINK("https://www.pchmayoreo.com/index.php/catalogsearch/result/?q=ME-605472-25", "Ir a sitio web")</f>
        <v>Ir a sitio web</v>
      </c>
    </row>
    <row r="45" spans="1:5" s="3" customFormat="1" ht="33" customHeight="1" x14ac:dyDescent="0.35">
      <c r="A45" s="6" t="s">
        <v>58</v>
      </c>
      <c r="B45" s="7" t="s">
        <v>59</v>
      </c>
      <c r="C45" s="7" t="s">
        <v>1214</v>
      </c>
      <c r="D45" s="7" t="s">
        <v>1218</v>
      </c>
      <c r="E45" s="3" t="str">
        <f>HYPERLINK("https://www.pchmayoreo.com/index.php/catalogsearch/result/?q=ME-605471-14", "Ir a sitio web")</f>
        <v>Ir a sitio web</v>
      </c>
    </row>
    <row r="46" spans="1:5" s="3" customFormat="1" ht="33" customHeight="1" x14ac:dyDescent="0.35">
      <c r="A46" s="6" t="s">
        <v>60</v>
      </c>
      <c r="B46" s="7" t="s">
        <v>61</v>
      </c>
      <c r="C46" s="7" t="s">
        <v>1214</v>
      </c>
      <c r="D46" s="7" t="s">
        <v>1218</v>
      </c>
      <c r="E46" s="3" t="str">
        <f>HYPERLINK("https://www.pchmayoreo.com/index.php/catalogsearch/result/?q=ME-605472-47", "Ir a sitio web")</f>
        <v>Ir a sitio web</v>
      </c>
    </row>
    <row r="47" spans="1:5" s="3" customFormat="1" ht="33" customHeight="1" x14ac:dyDescent="0.35">
      <c r="A47" s="6" t="s">
        <v>62</v>
      </c>
      <c r="B47" s="7" t="s">
        <v>63</v>
      </c>
      <c r="C47" s="7" t="s">
        <v>1212</v>
      </c>
      <c r="D47" s="7" t="s">
        <v>1219</v>
      </c>
      <c r="E47" s="3" t="str">
        <f>HYPERLINK("https://www.pchmayoreo.com/index.php/catalogsearch/result/?q=DD-393010-21", "Ir a sitio web")</f>
        <v>Ir a sitio web</v>
      </c>
    </row>
    <row r="48" spans="1:5" s="3" customFormat="1" ht="33" customHeight="1" x14ac:dyDescent="0.35">
      <c r="A48" s="6" t="s">
        <v>64</v>
      </c>
      <c r="B48" s="7" t="s">
        <v>65</v>
      </c>
      <c r="C48" s="7" t="s">
        <v>1212</v>
      </c>
      <c r="D48" s="7" t="s">
        <v>1219</v>
      </c>
      <c r="E48" s="3" t="str">
        <f>HYPERLINK("https://www.pchmayoreo.com/index.php/catalogsearch/result/?q=DD-393015-4", "Ir a sitio web")</f>
        <v>Ir a sitio web</v>
      </c>
    </row>
    <row r="49" spans="1:5" s="3" customFormat="1" ht="33" customHeight="1" x14ac:dyDescent="0.35">
      <c r="A49" s="6" t="s">
        <v>66</v>
      </c>
      <c r="B49" s="7" t="s">
        <v>67</v>
      </c>
      <c r="C49" s="7" t="s">
        <v>1212</v>
      </c>
      <c r="D49" s="7" t="s">
        <v>1219</v>
      </c>
      <c r="E49" s="3" t="str">
        <f>HYPERLINK("https://www.pchmayoreo.com/index.php/catalogsearch/result/?q=DD-393010-5", "Ir a sitio web")</f>
        <v>Ir a sitio web</v>
      </c>
    </row>
    <row r="50" spans="1:5" s="3" customFormat="1" ht="33" customHeight="1" x14ac:dyDescent="0.35">
      <c r="A50" s="6" t="s">
        <v>68</v>
      </c>
      <c r="B50" s="7" t="s">
        <v>69</v>
      </c>
      <c r="C50" s="7" t="s">
        <v>1212</v>
      </c>
      <c r="D50" s="7" t="s">
        <v>1219</v>
      </c>
      <c r="E50" s="3" t="str">
        <f>HYPERLINK("https://www.pchmayoreo.com/index.php/catalogsearch/result/?q=DD-393085-4MX", "Ir a sitio web")</f>
        <v>Ir a sitio web</v>
      </c>
    </row>
    <row r="51" spans="1:5" s="3" customFormat="1" ht="33" customHeight="1" x14ac:dyDescent="0.35">
      <c r="A51" s="6" t="s">
        <v>70</v>
      </c>
      <c r="B51" s="7" t="s">
        <v>71</v>
      </c>
      <c r="C51" s="7" t="s">
        <v>1212</v>
      </c>
      <c r="D51" s="7" t="s">
        <v>1219</v>
      </c>
      <c r="E51" s="3" t="str">
        <f>HYPERLINK("https://www.pchmayoreo.com/index.php/catalogsearch/result/?q=DD-383085-8", "Ir a sitio web")</f>
        <v>Ir a sitio web</v>
      </c>
    </row>
    <row r="52" spans="1:5" s="3" customFormat="1" ht="33" customHeight="1" x14ac:dyDescent="0.35">
      <c r="A52" s="6" t="s">
        <v>72</v>
      </c>
      <c r="B52" s="7" t="s">
        <v>73</v>
      </c>
      <c r="C52" s="7" t="s">
        <v>1212</v>
      </c>
      <c r="D52" s="7" t="s">
        <v>1219</v>
      </c>
      <c r="E52" s="3" t="str">
        <f>HYPERLINK("https://www.pchmayoreo.com/index.php/catalogsearch/result/?q=DD-12403146-11", "Ir a sitio web")</f>
        <v>Ir a sitio web</v>
      </c>
    </row>
    <row r="53" spans="1:5" s="3" customFormat="1" ht="33" customHeight="1" x14ac:dyDescent="0.35">
      <c r="A53" s="6" t="s">
        <v>74</v>
      </c>
      <c r="B53" s="7" t="s">
        <v>75</v>
      </c>
      <c r="C53" s="7" t="s">
        <v>1212</v>
      </c>
      <c r="D53" s="7" t="s">
        <v>1219</v>
      </c>
      <c r="E53" s="3" t="str">
        <f>HYPERLINK("https://www.pchmayoreo.com/index.php/catalogsearch/result/?q=DD-393011-2", "Ir a sitio web")</f>
        <v>Ir a sitio web</v>
      </c>
    </row>
    <row r="54" spans="1:5" s="3" customFormat="1" ht="33" customHeight="1" x14ac:dyDescent="0.35">
      <c r="A54" s="6" t="s">
        <v>76</v>
      </c>
      <c r="B54" s="7" t="s">
        <v>77</v>
      </c>
      <c r="C54" s="7" t="s">
        <v>1212</v>
      </c>
      <c r="D54" s="7" t="s">
        <v>1219</v>
      </c>
      <c r="E54" s="3" t="str">
        <f>HYPERLINK("https://www.pchmayoreo.com/index.php/catalogsearch/result/?q=AL-030201-00", "Ir a sitio web")</f>
        <v>Ir a sitio web</v>
      </c>
    </row>
    <row r="55" spans="1:5" s="3" customFormat="1" ht="33" customHeight="1" x14ac:dyDescent="0.35">
      <c r="A55" s="6" t="s">
        <v>78</v>
      </c>
      <c r="B55" s="7" t="s">
        <v>79</v>
      </c>
      <c r="C55" s="7" t="s">
        <v>1212</v>
      </c>
      <c r="D55" s="7" t="s">
        <v>1219</v>
      </c>
      <c r="E55" s="3" t="str">
        <f>HYPERLINK("https://www.pchmayoreo.com/index.php/catalogsearch/result/?q=DD-385309-22", "Ir a sitio web")</f>
        <v>Ir a sitio web</v>
      </c>
    </row>
    <row r="56" spans="1:5" s="3" customFormat="1" ht="33" customHeight="1" x14ac:dyDescent="0.35">
      <c r="A56" s="6" t="s">
        <v>80</v>
      </c>
      <c r="B56" s="7" t="s">
        <v>81</v>
      </c>
      <c r="C56" s="7" t="s">
        <v>1212</v>
      </c>
      <c r="D56" s="7" t="s">
        <v>1220</v>
      </c>
      <c r="E56" s="3" t="str">
        <f>HYPERLINK("https://www.pchmayoreo.com/index.php/catalogsearch/result/?q=DD-393114-9", "Ir a sitio web")</f>
        <v>Ir a sitio web</v>
      </c>
    </row>
    <row r="57" spans="1:5" s="3" customFormat="1" ht="33" customHeight="1" x14ac:dyDescent="0.35">
      <c r="A57" s="6" t="s">
        <v>82</v>
      </c>
      <c r="B57" s="7" t="s">
        <v>83</v>
      </c>
      <c r="C57" s="7" t="s">
        <v>1212</v>
      </c>
      <c r="D57" s="7" t="s">
        <v>1220</v>
      </c>
      <c r="E57" s="3" t="str">
        <f>HYPERLINK("https://www.pchmayoreo.com/index.php/catalogsearch/result/?q=DD-393114-10", "Ir a sitio web")</f>
        <v>Ir a sitio web</v>
      </c>
    </row>
    <row r="58" spans="1:5" s="3" customFormat="1" ht="33" customHeight="1" x14ac:dyDescent="0.35">
      <c r="A58" s="6" t="s">
        <v>84</v>
      </c>
      <c r="B58" s="7" t="s">
        <v>85</v>
      </c>
      <c r="C58" s="7" t="s">
        <v>1212</v>
      </c>
      <c r="D58" s="7" t="s">
        <v>1220</v>
      </c>
      <c r="E58" s="3" t="str">
        <f>HYPERLINK("https://www.pchmayoreo.com/index.php/catalogsearch/result/?q=DD-393110-20", "Ir a sitio web")</f>
        <v>Ir a sitio web</v>
      </c>
    </row>
    <row r="59" spans="1:5" s="3" customFormat="1" ht="33" customHeight="1" x14ac:dyDescent="0.35">
      <c r="A59" s="6" t="s">
        <v>86</v>
      </c>
      <c r="B59" s="7" t="s">
        <v>87</v>
      </c>
      <c r="C59" s="7" t="s">
        <v>1212</v>
      </c>
      <c r="D59" s="7" t="s">
        <v>1220</v>
      </c>
      <c r="E59" s="3" t="str">
        <f>HYPERLINK("https://www.pchmayoreo.com/index.php/catalogsearch/result/?q=DD-393186-10", "Ir a sitio web")</f>
        <v>Ir a sitio web</v>
      </c>
    </row>
    <row r="60" spans="1:5" s="3" customFormat="1" ht="33" customHeight="1" x14ac:dyDescent="0.35">
      <c r="A60" s="6" t="s">
        <v>88</v>
      </c>
      <c r="B60" s="7" t="s">
        <v>89</v>
      </c>
      <c r="C60" s="7" t="s">
        <v>1212</v>
      </c>
      <c r="D60" s="7" t="s">
        <v>1220</v>
      </c>
      <c r="E60" s="3" t="str">
        <f>HYPERLINK("https://www.pchmayoreo.com/index.php/catalogsearch/result/?q=DD-493110-1", "Ir a sitio web")</f>
        <v>Ir a sitio web</v>
      </c>
    </row>
    <row r="61" spans="1:5" s="3" customFormat="1" ht="33" customHeight="1" x14ac:dyDescent="0.35">
      <c r="A61" s="6" t="s">
        <v>90</v>
      </c>
      <c r="B61" s="7" t="s">
        <v>91</v>
      </c>
      <c r="C61" s="7" t="s">
        <v>1212</v>
      </c>
      <c r="D61" s="7" t="s">
        <v>1220</v>
      </c>
      <c r="E61" s="3" t="str">
        <f>HYPERLINK("https://www.pchmayoreo.com/index.php/catalogsearch/result/?q=DD-393110-5", "Ir a sitio web")</f>
        <v>Ir a sitio web</v>
      </c>
    </row>
    <row r="62" spans="1:5" s="3" customFormat="1" ht="33" customHeight="1" x14ac:dyDescent="0.35">
      <c r="A62" s="6" t="s">
        <v>92</v>
      </c>
      <c r="B62" s="7" t="s">
        <v>93</v>
      </c>
      <c r="C62" s="7" t="s">
        <v>1212</v>
      </c>
      <c r="D62" s="7" t="s">
        <v>1221</v>
      </c>
      <c r="E62" s="3" t="str">
        <f>HYPERLINK("https://www.pchmayoreo.com/index.php/catalogsearch/result/?q=DD-393186-17MX", "Ir a sitio web")</f>
        <v>Ir a sitio web</v>
      </c>
    </row>
    <row r="63" spans="1:5" s="3" customFormat="1" ht="33" customHeight="1" x14ac:dyDescent="0.35">
      <c r="A63" s="6" t="s">
        <v>94</v>
      </c>
      <c r="B63" s="7" t="s">
        <v>95</v>
      </c>
      <c r="C63" s="7" t="s">
        <v>1212</v>
      </c>
      <c r="D63" s="7" t="s">
        <v>1221</v>
      </c>
      <c r="E63" s="3" t="str">
        <f>HYPERLINK("https://www.pchmayoreo.com/index.php/catalogsearch/result/?q=DD-395311-17", "Ir a sitio web")</f>
        <v>Ir a sitio web</v>
      </c>
    </row>
    <row r="64" spans="1:5" s="3" customFormat="1" ht="33" customHeight="1" x14ac:dyDescent="0.35">
      <c r="A64" s="6" t="s">
        <v>96</v>
      </c>
      <c r="B64" s="7" t="s">
        <v>97</v>
      </c>
      <c r="C64" s="7" t="s">
        <v>1212</v>
      </c>
      <c r="D64" s="7" t="s">
        <v>1221</v>
      </c>
      <c r="E64" s="3" t="str">
        <f>HYPERLINK("https://www.pchmayoreo.com/index.php/catalogsearch/result/?q=DD-7904154-6", "Ir a sitio web")</f>
        <v>Ir a sitio web</v>
      </c>
    </row>
    <row r="65" spans="1:5" s="3" customFormat="1" ht="33" customHeight="1" x14ac:dyDescent="0.35">
      <c r="A65" s="6" t="s">
        <v>98</v>
      </c>
      <c r="B65" s="7" t="s">
        <v>99</v>
      </c>
      <c r="C65" s="7" t="s">
        <v>1212</v>
      </c>
      <c r="D65" s="7" t="s">
        <v>1221</v>
      </c>
      <c r="E65" s="3" t="str">
        <f>HYPERLINK("https://www.pchmayoreo.com/index.php/catalogsearch/result/?q=DD-393177-5MX", "Ir a sitio web")</f>
        <v>Ir a sitio web</v>
      </c>
    </row>
    <row r="66" spans="1:5" s="3" customFormat="1" ht="33" customHeight="1" x14ac:dyDescent="0.35">
      <c r="A66" s="6" t="s">
        <v>100</v>
      </c>
      <c r="B66" s="7" t="s">
        <v>101</v>
      </c>
      <c r="C66" s="7" t="s">
        <v>1212</v>
      </c>
      <c r="D66" s="7" t="s">
        <v>1221</v>
      </c>
      <c r="E66" s="3" t="str">
        <f>HYPERLINK("https://www.pchmayoreo.com/index.php/catalogsearch/result/?q=DD-12304154-4", "Ir a sitio web")</f>
        <v>Ir a sitio web</v>
      </c>
    </row>
    <row r="67" spans="1:5" s="3" customFormat="1" ht="33" customHeight="1" x14ac:dyDescent="0.35">
      <c r="A67" s="6" t="s">
        <v>102</v>
      </c>
      <c r="B67" s="7" t="s">
        <v>103</v>
      </c>
      <c r="C67" s="7" t="s">
        <v>1212</v>
      </c>
      <c r="D67" s="7" t="s">
        <v>1221</v>
      </c>
      <c r="E67" s="3" t="str">
        <f>HYPERLINK("https://www.pchmayoreo.com/index.php/catalogsearch/result/?q=DD-395311-21", "Ir a sitio web")</f>
        <v>Ir a sitio web</v>
      </c>
    </row>
    <row r="68" spans="1:5" s="3" customFormat="1" ht="33" customHeight="1" x14ac:dyDescent="0.35">
      <c r="A68" s="6" t="s">
        <v>104</v>
      </c>
      <c r="B68" s="7" t="s">
        <v>105</v>
      </c>
      <c r="C68" s="7" t="s">
        <v>1212</v>
      </c>
      <c r="D68" s="7" t="s">
        <v>1221</v>
      </c>
      <c r="E68" s="3" t="str">
        <f>HYPERLINK("https://www.pchmayoreo.com/index.php/catalogsearch/result/?q=DD-7904154-3", "Ir a sitio web")</f>
        <v>Ir a sitio web</v>
      </c>
    </row>
    <row r="69" spans="1:5" s="3" customFormat="1" ht="33" customHeight="1" x14ac:dyDescent="0.35">
      <c r="A69" s="6" t="s">
        <v>106</v>
      </c>
      <c r="B69" s="7" t="s">
        <v>107</v>
      </c>
      <c r="C69" s="7" t="s">
        <v>1212</v>
      </c>
      <c r="D69" s="7" t="s">
        <v>1221</v>
      </c>
      <c r="E69" s="3" t="str">
        <f>HYPERLINK("https://www.pchmayoreo.com/index.php/catalogsearch/result/?q=DD-7204177-17", "Ir a sitio web")</f>
        <v>Ir a sitio web</v>
      </c>
    </row>
    <row r="70" spans="1:5" s="3" customFormat="1" ht="33" customHeight="1" x14ac:dyDescent="0.35">
      <c r="A70" s="6" t="s">
        <v>108</v>
      </c>
      <c r="B70" s="7" t="s">
        <v>109</v>
      </c>
      <c r="C70" s="7" t="s">
        <v>1212</v>
      </c>
      <c r="D70" s="7" t="s">
        <v>1221</v>
      </c>
      <c r="E70" s="3" t="str">
        <f>HYPERLINK("https://www.pchmayoreo.com/index.php/catalogsearch/result/?q=DD-124897-11", "Ir a sitio web")</f>
        <v>Ir a sitio web</v>
      </c>
    </row>
    <row r="71" spans="1:5" s="3" customFormat="1" ht="33" customHeight="1" x14ac:dyDescent="0.35">
      <c r="A71" s="6" t="s">
        <v>110</v>
      </c>
      <c r="B71" s="7" t="s">
        <v>111</v>
      </c>
      <c r="C71" s="7" t="s">
        <v>1212</v>
      </c>
      <c r="D71" s="7" t="s">
        <v>1221</v>
      </c>
      <c r="E71" s="3" t="str">
        <f>HYPERLINK("https://www.pchmayoreo.com/index.php/catalogsearch/result/?q=DD-395311-22", "Ir a sitio web")</f>
        <v>Ir a sitio web</v>
      </c>
    </row>
    <row r="72" spans="1:5" s="3" customFormat="1" ht="33" customHeight="1" x14ac:dyDescent="0.35">
      <c r="A72" s="6" t="s">
        <v>112</v>
      </c>
      <c r="B72" s="7" t="s">
        <v>113</v>
      </c>
      <c r="C72" s="7" t="s">
        <v>1212</v>
      </c>
      <c r="D72" s="7" t="s">
        <v>1221</v>
      </c>
      <c r="E72" s="3" t="str">
        <f>HYPERLINK("https://www.pchmayoreo.com/index.php/catalogsearch/result/?q=DD-12403146-18", "Ir a sitio web")</f>
        <v>Ir a sitio web</v>
      </c>
    </row>
    <row r="73" spans="1:5" s="3" customFormat="1" ht="33" customHeight="1" x14ac:dyDescent="0.35">
      <c r="A73" s="6" t="s">
        <v>114</v>
      </c>
      <c r="B73" s="7" t="s">
        <v>115</v>
      </c>
      <c r="C73" s="7" t="s">
        <v>1222</v>
      </c>
      <c r="D73" s="7" t="s">
        <v>1223</v>
      </c>
      <c r="E73" s="3" t="str">
        <f>HYPERLINK("https://www.pchmayoreo.com/index.php/catalogsearch/result/?q=EQ-524510-63", "Ir a sitio web")</f>
        <v>Ir a sitio web</v>
      </c>
    </row>
    <row r="74" spans="1:5" s="3" customFormat="1" ht="33" customHeight="1" x14ac:dyDescent="0.35">
      <c r="A74" s="6" t="s">
        <v>116</v>
      </c>
      <c r="B74" s="7" t="s">
        <v>117</v>
      </c>
      <c r="C74" s="7" t="s">
        <v>1222</v>
      </c>
      <c r="D74" s="7" t="s">
        <v>1223</v>
      </c>
      <c r="E74" s="3" t="str">
        <f>HYPERLINK("https://www.pchmayoreo.com/index.php/catalogsearch/result/?q=EQ-524510-67", "Ir a sitio web")</f>
        <v>Ir a sitio web</v>
      </c>
    </row>
    <row r="75" spans="1:5" s="3" customFormat="1" ht="33" customHeight="1" x14ac:dyDescent="0.35">
      <c r="A75" s="6" t="s">
        <v>118</v>
      </c>
      <c r="B75" s="7" t="s">
        <v>119</v>
      </c>
      <c r="C75" s="7" t="s">
        <v>1224</v>
      </c>
      <c r="D75" s="7" t="s">
        <v>1225</v>
      </c>
      <c r="E75" s="3" t="str">
        <f>HYPERLINK("https://www.pchmayoreo.com/index.php/catalogsearch/result/?q=SV-393110-5", "Ir a sitio web")</f>
        <v>Ir a sitio web</v>
      </c>
    </row>
    <row r="76" spans="1:5" s="3" customFormat="1" ht="33" customHeight="1" x14ac:dyDescent="0.35">
      <c r="A76" s="6" t="s">
        <v>120</v>
      </c>
      <c r="B76" s="7" t="s">
        <v>121</v>
      </c>
      <c r="C76" s="7" t="s">
        <v>1224</v>
      </c>
      <c r="D76" s="7" t="s">
        <v>1225</v>
      </c>
      <c r="E76" s="3" t="str">
        <f>HYPERLINK("https://www.pchmayoreo.com/index.php/catalogsearch/result/?q=SV-603172-3", "Ir a sitio web")</f>
        <v>Ir a sitio web</v>
      </c>
    </row>
    <row r="77" spans="1:5" s="3" customFormat="1" ht="33" customHeight="1" x14ac:dyDescent="0.35">
      <c r="A77" s="6" t="s">
        <v>122</v>
      </c>
      <c r="B77" s="7" t="s">
        <v>123</v>
      </c>
      <c r="C77" s="7" t="s">
        <v>1222</v>
      </c>
      <c r="D77" s="7" t="s">
        <v>124</v>
      </c>
      <c r="E77" s="3" t="str">
        <f>HYPERLINK("https://www.pchmayoreo.com/index.php/catalogsearch/result/?q=EQ-523194-8", "Ir a sitio web")</f>
        <v>Ir a sitio web</v>
      </c>
    </row>
    <row r="78" spans="1:5" s="3" customFormat="1" ht="33" customHeight="1" x14ac:dyDescent="0.35">
      <c r="A78" s="6" t="s">
        <v>125</v>
      </c>
      <c r="B78" s="7" t="s">
        <v>126</v>
      </c>
      <c r="C78" s="7" t="s">
        <v>1224</v>
      </c>
      <c r="D78" s="7" t="s">
        <v>1225</v>
      </c>
      <c r="E78" s="3" t="str">
        <f>HYPERLINK("https://www.pchmayoreo.com/index.php/catalogsearch/result/?q=SV-393111-1", "Ir a sitio web")</f>
        <v>Ir a sitio web</v>
      </c>
    </row>
    <row r="79" spans="1:5" s="3" customFormat="1" ht="33" customHeight="1" x14ac:dyDescent="0.35">
      <c r="A79" s="6" t="s">
        <v>127</v>
      </c>
      <c r="B79" s="7" t="s">
        <v>128</v>
      </c>
      <c r="C79" s="7" t="s">
        <v>1224</v>
      </c>
      <c r="D79" s="7" t="s">
        <v>1225</v>
      </c>
      <c r="E79" s="3" t="str">
        <f>HYPERLINK("https://www.pchmayoreo.com/index.php/catalogsearch/result/?q=SV-343179-1", "Ir a sitio web")</f>
        <v>Ir a sitio web</v>
      </c>
    </row>
    <row r="80" spans="1:5" s="3" customFormat="1" ht="33" customHeight="1" x14ac:dyDescent="0.35">
      <c r="A80" s="6" t="s">
        <v>129</v>
      </c>
      <c r="B80" s="7" t="s">
        <v>130</v>
      </c>
      <c r="C80" s="7" t="s">
        <v>1222</v>
      </c>
      <c r="D80" s="7" t="s">
        <v>124</v>
      </c>
      <c r="E80" s="3" t="str">
        <f>HYPERLINK("https://www.pchmayoreo.com/index.php/catalogsearch/result/?q=EQ-523111-200", "Ir a sitio web")</f>
        <v>Ir a sitio web</v>
      </c>
    </row>
    <row r="81" spans="1:5" s="3" customFormat="1" ht="33" customHeight="1" x14ac:dyDescent="0.35">
      <c r="A81" s="6" t="s">
        <v>131</v>
      </c>
      <c r="B81" s="7" t="s">
        <v>132</v>
      </c>
      <c r="C81" s="7" t="s">
        <v>1222</v>
      </c>
      <c r="D81" s="7" t="s">
        <v>124</v>
      </c>
      <c r="E81" s="3" t="str">
        <f>HYPERLINK("https://www.pchmayoreo.com/index.php/catalogsearch/result/?q=EQ-523110-20", "Ir a sitio web")</f>
        <v>Ir a sitio web</v>
      </c>
    </row>
    <row r="82" spans="1:5" s="3" customFormat="1" ht="33" customHeight="1" x14ac:dyDescent="0.35">
      <c r="A82" s="6" t="s">
        <v>133</v>
      </c>
      <c r="B82" s="7" t="s">
        <v>134</v>
      </c>
      <c r="C82" s="7" t="s">
        <v>1222</v>
      </c>
      <c r="D82" s="7" t="s">
        <v>124</v>
      </c>
      <c r="E82" s="3" t="str">
        <f>HYPERLINK("https://www.pchmayoreo.com/index.php/catalogsearch/result/?q=EQ-503110-24", "Ir a sitio web")</f>
        <v>Ir a sitio web</v>
      </c>
    </row>
    <row r="83" spans="1:5" s="3" customFormat="1" ht="33" customHeight="1" x14ac:dyDescent="0.35">
      <c r="A83" s="6" t="s">
        <v>135</v>
      </c>
      <c r="B83" s="7" t="s">
        <v>136</v>
      </c>
      <c r="C83" s="7" t="s">
        <v>1226</v>
      </c>
      <c r="D83" s="7" t="s">
        <v>1227</v>
      </c>
      <c r="E83" s="3" t="str">
        <f>HYPERLINK("https://www.pchmayoreo.com/index.php/catalogsearch/result/?q=TA-474991-18", "Ir a sitio web")</f>
        <v>Ir a sitio web</v>
      </c>
    </row>
    <row r="84" spans="1:5" s="3" customFormat="1" ht="33" customHeight="1" x14ac:dyDescent="0.35">
      <c r="A84" s="6" t="s">
        <v>137</v>
      </c>
      <c r="B84" s="7" t="s">
        <v>138</v>
      </c>
      <c r="C84" s="7" t="s">
        <v>1222</v>
      </c>
      <c r="D84" s="7" t="s">
        <v>1228</v>
      </c>
      <c r="E84" s="3" t="str">
        <f>HYPERLINK("https://www.pchmayoreo.com/index.php/catalogsearch/result/?q=EQ-524911-19", "Ir a sitio web")</f>
        <v>Ir a sitio web</v>
      </c>
    </row>
    <row r="85" spans="1:5" s="3" customFormat="1" ht="33" customHeight="1" x14ac:dyDescent="0.35">
      <c r="A85" s="6" t="s">
        <v>139</v>
      </c>
      <c r="B85" s="7" t="s">
        <v>140</v>
      </c>
      <c r="C85" s="7" t="s">
        <v>1215</v>
      </c>
      <c r="D85" s="7" t="s">
        <v>1229</v>
      </c>
      <c r="E85" s="3" t="str">
        <f>HYPERLINK("https://www.pchmayoreo.com/index.php/catalogsearch/result/?q=AC-393579-5", "Ir a sitio web")</f>
        <v>Ir a sitio web</v>
      </c>
    </row>
    <row r="86" spans="1:5" s="3" customFormat="1" ht="33" customHeight="1" x14ac:dyDescent="0.35">
      <c r="A86" s="6" t="s">
        <v>141</v>
      </c>
      <c r="B86" s="7" t="s">
        <v>142</v>
      </c>
      <c r="C86" s="7" t="s">
        <v>1215</v>
      </c>
      <c r="D86" s="7" t="s">
        <v>1229</v>
      </c>
      <c r="E86" s="3" t="str">
        <f>HYPERLINK("https://www.pchmayoreo.com/index.php/catalogsearch/result/?q=AC-393510-4", "Ir a sitio web")</f>
        <v>Ir a sitio web</v>
      </c>
    </row>
    <row r="87" spans="1:5" s="3" customFormat="1" ht="33" customHeight="1" x14ac:dyDescent="0.35">
      <c r="A87" s="6" t="s">
        <v>143</v>
      </c>
      <c r="B87" s="7" t="s">
        <v>144</v>
      </c>
      <c r="C87" s="7" t="s">
        <v>1230</v>
      </c>
      <c r="D87" s="7" t="s">
        <v>1229</v>
      </c>
      <c r="E87" s="3" t="str">
        <f>HYPERLINK("https://www.pchmayoreo.com/index.php/catalogsearch/result/?q=GA-383583-37", "Ir a sitio web")</f>
        <v>Ir a sitio web</v>
      </c>
    </row>
    <row r="88" spans="1:5" s="3" customFormat="1" ht="33" customHeight="1" x14ac:dyDescent="0.35">
      <c r="A88" s="6" t="s">
        <v>145</v>
      </c>
      <c r="B88" s="7" t="s">
        <v>146</v>
      </c>
      <c r="C88" s="7" t="s">
        <v>1215</v>
      </c>
      <c r="D88" s="7" t="s">
        <v>1229</v>
      </c>
      <c r="E88" s="3" t="str">
        <f>HYPERLINK("https://www.pchmayoreo.com/index.php/catalogsearch/result/?q=AC-393579-6", "Ir a sitio web")</f>
        <v>Ir a sitio web</v>
      </c>
    </row>
    <row r="89" spans="1:5" s="3" customFormat="1" ht="33" customHeight="1" x14ac:dyDescent="0.35">
      <c r="A89" s="6" t="s">
        <v>147</v>
      </c>
      <c r="B89" s="7" t="s">
        <v>148</v>
      </c>
      <c r="C89" s="7" t="s">
        <v>1215</v>
      </c>
      <c r="D89" s="7" t="s">
        <v>1229</v>
      </c>
      <c r="E89" s="3" t="str">
        <f>HYPERLINK("https://www.pchmayoreo.com/index.php/catalogsearch/result/?q=AC-393510-2", "Ir a sitio web")</f>
        <v>Ir a sitio web</v>
      </c>
    </row>
    <row r="90" spans="1:5" s="3" customFormat="1" ht="33" customHeight="1" x14ac:dyDescent="0.35">
      <c r="A90" s="6" t="s">
        <v>149</v>
      </c>
      <c r="B90" s="7" t="s">
        <v>150</v>
      </c>
      <c r="C90" s="7" t="s">
        <v>1230</v>
      </c>
      <c r="D90" s="7" t="s">
        <v>1229</v>
      </c>
      <c r="E90" s="3" t="str">
        <f>HYPERLINK("https://www.pchmayoreo.com/index.php/catalogsearch/result/?q=EV-1011001-6", "Ir a sitio web")</f>
        <v>Ir a sitio web</v>
      </c>
    </row>
    <row r="91" spans="1:5" s="3" customFormat="1" ht="33" customHeight="1" x14ac:dyDescent="0.35">
      <c r="A91" s="6" t="s">
        <v>151</v>
      </c>
      <c r="B91" s="7" t="s">
        <v>152</v>
      </c>
      <c r="C91" s="7" t="s">
        <v>1215</v>
      </c>
      <c r="D91" s="7" t="s">
        <v>1229</v>
      </c>
      <c r="E91" s="3" t="str">
        <f>HYPERLINK("https://www.pchmayoreo.com/index.php/catalogsearch/result/?q=AC-393510-5", "Ir a sitio web")</f>
        <v>Ir a sitio web</v>
      </c>
    </row>
    <row r="92" spans="1:5" s="3" customFormat="1" ht="33" customHeight="1" x14ac:dyDescent="0.35">
      <c r="A92" s="6" t="s">
        <v>153</v>
      </c>
      <c r="B92" s="7" t="s">
        <v>154</v>
      </c>
      <c r="C92" s="7" t="s">
        <v>1215</v>
      </c>
      <c r="D92" s="7" t="s">
        <v>1229</v>
      </c>
      <c r="E92" s="3" t="str">
        <f>HYPERLINK("https://www.pchmayoreo.com/index.php/catalogsearch/result/?q=AC-364359-8", "Ir a sitio web")</f>
        <v>Ir a sitio web</v>
      </c>
    </row>
    <row r="93" spans="1:5" s="3" customFormat="1" ht="33" customHeight="1" x14ac:dyDescent="0.35">
      <c r="A93" s="6" t="s">
        <v>155</v>
      </c>
      <c r="B93" s="7" t="s">
        <v>156</v>
      </c>
      <c r="C93" s="7" t="s">
        <v>1215</v>
      </c>
      <c r="D93" s="7" t="s">
        <v>1229</v>
      </c>
      <c r="E93" s="3" t="str">
        <f>HYPERLINK("https://www.pchmayoreo.com/index.php/catalogsearch/result/?q=AC-364359-5", "Ir a sitio web")</f>
        <v>Ir a sitio web</v>
      </c>
    </row>
    <row r="94" spans="1:5" s="3" customFormat="1" ht="33" customHeight="1" x14ac:dyDescent="0.35">
      <c r="A94" s="6" t="s">
        <v>157</v>
      </c>
      <c r="B94" s="7" t="s">
        <v>158</v>
      </c>
      <c r="C94" s="7" t="s">
        <v>1215</v>
      </c>
      <c r="D94" s="7" t="s">
        <v>1229</v>
      </c>
      <c r="E94" s="3" t="str">
        <f>HYPERLINK("https://www.pchmayoreo.com/index.php/catalogsearch/result/?q=AC-364359-6", "Ir a sitio web")</f>
        <v>Ir a sitio web</v>
      </c>
    </row>
    <row r="95" spans="1:5" s="3" customFormat="1" ht="33" customHeight="1" x14ac:dyDescent="0.35">
      <c r="A95" s="6" t="s">
        <v>159</v>
      </c>
      <c r="B95" s="7" t="s">
        <v>160</v>
      </c>
      <c r="C95" s="7" t="s">
        <v>1214</v>
      </c>
      <c r="D95" s="7" t="s">
        <v>1231</v>
      </c>
      <c r="E95" s="3" t="str">
        <f>HYPERLINK("https://www.pchmayoreo.com/index.php/catalogsearch/result/?q=ME-428606-7", "Ir a sitio web")</f>
        <v>Ir a sitio web</v>
      </c>
    </row>
    <row r="96" spans="1:5" s="3" customFormat="1" ht="33" customHeight="1" x14ac:dyDescent="0.35">
      <c r="A96" s="6" t="s">
        <v>161</v>
      </c>
      <c r="B96" s="7" t="s">
        <v>162</v>
      </c>
      <c r="C96" s="7" t="s">
        <v>1214</v>
      </c>
      <c r="D96" s="7" t="s">
        <v>1231</v>
      </c>
      <c r="E96" s="3" t="str">
        <f>HYPERLINK("https://www.pchmayoreo.com/index.php/catalogsearch/result/?q=ME-606072-1", "Ir a sitio web")</f>
        <v>Ir a sitio web</v>
      </c>
    </row>
    <row r="97" spans="1:5" s="3" customFormat="1" ht="33" customHeight="1" x14ac:dyDescent="0.35">
      <c r="A97" s="6" t="s">
        <v>163</v>
      </c>
      <c r="B97" s="7" t="s">
        <v>164</v>
      </c>
      <c r="C97" s="7" t="s">
        <v>1214</v>
      </c>
      <c r="D97" s="7" t="s">
        <v>1231</v>
      </c>
      <c r="E97" s="3" t="str">
        <f>HYPERLINK("https://www.pchmayoreo.com/index.php/catalogsearch/result/?q=ME-428606-15", "Ir a sitio web")</f>
        <v>Ir a sitio web</v>
      </c>
    </row>
    <row r="98" spans="1:5" s="3" customFormat="1" ht="33" customHeight="1" x14ac:dyDescent="0.35">
      <c r="A98" s="6" t="s">
        <v>165</v>
      </c>
      <c r="B98" s="7" t="s">
        <v>166</v>
      </c>
      <c r="C98" s="7" t="s">
        <v>1215</v>
      </c>
      <c r="D98" s="7" t="s">
        <v>1231</v>
      </c>
      <c r="E98" s="3" t="str">
        <f>HYPERLINK("https://www.pchmayoreo.com/index.php/catalogsearch/result/?q=AC-396010-6", "Ir a sitio web")</f>
        <v>Ir a sitio web</v>
      </c>
    </row>
    <row r="99" spans="1:5" s="3" customFormat="1" ht="33" customHeight="1" x14ac:dyDescent="0.35">
      <c r="A99" s="6" t="s">
        <v>167</v>
      </c>
      <c r="B99" s="7" t="s">
        <v>168</v>
      </c>
      <c r="C99" s="7" t="s">
        <v>1215</v>
      </c>
      <c r="D99" s="7" t="s">
        <v>1231</v>
      </c>
      <c r="E99" s="3" t="str">
        <f>HYPERLINK("https://www.pchmayoreo.com/index.php/catalogsearch/result/?q=AC-396012-2", "Ir a sitio web")</f>
        <v>Ir a sitio web</v>
      </c>
    </row>
    <row r="100" spans="1:5" s="3" customFormat="1" ht="33" customHeight="1" x14ac:dyDescent="0.35">
      <c r="A100" s="6" t="s">
        <v>169</v>
      </c>
      <c r="B100" s="7" t="s">
        <v>170</v>
      </c>
      <c r="C100" s="7" t="s">
        <v>1215</v>
      </c>
      <c r="D100" s="7" t="s">
        <v>1231</v>
      </c>
      <c r="E100" s="3" t="str">
        <f>HYPERLINK("https://www.pchmayoreo.com/index.php/catalogsearch/result/?q=AC-486010-7", "Ir a sitio web")</f>
        <v>Ir a sitio web</v>
      </c>
    </row>
    <row r="101" spans="1:5" s="3" customFormat="1" ht="33" customHeight="1" x14ac:dyDescent="0.35">
      <c r="A101" s="6" t="s">
        <v>171</v>
      </c>
      <c r="B101" s="7" t="s">
        <v>172</v>
      </c>
      <c r="C101" s="7" t="s">
        <v>1232</v>
      </c>
      <c r="D101" s="7" t="s">
        <v>1231</v>
      </c>
      <c r="E101" s="3" t="str">
        <f>HYPERLINK("https://www.pchmayoreo.com/index.php/catalogsearch/result/?q=AU-376011-11", "Ir a sitio web")</f>
        <v>Ir a sitio web</v>
      </c>
    </row>
    <row r="102" spans="1:5" s="3" customFormat="1" ht="33" customHeight="1" x14ac:dyDescent="0.35">
      <c r="A102" s="6" t="s">
        <v>173</v>
      </c>
      <c r="B102" s="7" t="s">
        <v>174</v>
      </c>
      <c r="C102" s="7" t="s">
        <v>1215</v>
      </c>
      <c r="D102" s="7" t="s">
        <v>1231</v>
      </c>
      <c r="E102" s="3" t="str">
        <f>HYPERLINK("https://www.pchmayoreo.com/index.php/catalogsearch/result/?q=AC-486010-6", "Ir a sitio web")</f>
        <v>Ir a sitio web</v>
      </c>
    </row>
    <row r="103" spans="1:5" s="3" customFormat="1" ht="33" customHeight="1" x14ac:dyDescent="0.35">
      <c r="A103" s="6" t="s">
        <v>175</v>
      </c>
      <c r="B103" s="7" t="s">
        <v>176</v>
      </c>
      <c r="C103" s="7" t="s">
        <v>1233</v>
      </c>
      <c r="D103" s="7" t="s">
        <v>1234</v>
      </c>
      <c r="E103" s="3" t="str">
        <f>HYPERLINK("https://www.pchmayoreo.com/index.php/catalogsearch/result/?q=DR-516611-5", "Ir a sitio web")</f>
        <v>Ir a sitio web</v>
      </c>
    </row>
    <row r="104" spans="1:5" s="3" customFormat="1" ht="33" customHeight="1" x14ac:dyDescent="0.35">
      <c r="A104" s="6" t="s">
        <v>177</v>
      </c>
      <c r="B104" s="7" t="s">
        <v>178</v>
      </c>
      <c r="C104" s="7" t="s">
        <v>1233</v>
      </c>
      <c r="D104" s="7" t="s">
        <v>1234</v>
      </c>
      <c r="E104" s="3" t="str">
        <f>HYPERLINK("https://www.pchmayoreo.com/index.php/catalogsearch/result/?q=DR-516611-7", "Ir a sitio web")</f>
        <v>Ir a sitio web</v>
      </c>
    </row>
    <row r="105" spans="1:5" s="3" customFormat="1" ht="33" customHeight="1" x14ac:dyDescent="0.35">
      <c r="A105" s="6" t="s">
        <v>179</v>
      </c>
      <c r="B105" s="7" t="s">
        <v>180</v>
      </c>
      <c r="C105" s="7" t="s">
        <v>1215</v>
      </c>
      <c r="D105" s="7" t="s">
        <v>1235</v>
      </c>
      <c r="E105" s="3" t="str">
        <f>HYPERLINK("https://www.pchmayoreo.com/index.php/catalogsearch/result/?q=AC-447111-1", "Ir a sitio web")</f>
        <v>Ir a sitio web</v>
      </c>
    </row>
    <row r="106" spans="1:5" s="3" customFormat="1" ht="33" customHeight="1" x14ac:dyDescent="0.35">
      <c r="A106" s="6" t="s">
        <v>181</v>
      </c>
      <c r="B106" s="7" t="s">
        <v>182</v>
      </c>
      <c r="C106" s="7" t="s">
        <v>1215</v>
      </c>
      <c r="D106" s="7" t="s">
        <v>1235</v>
      </c>
      <c r="E106" s="3" t="str">
        <f>HYPERLINK("https://www.pchmayoreo.com/index.php/catalogsearch/result/?q=AC-587111-1", "Ir a sitio web")</f>
        <v>Ir a sitio web</v>
      </c>
    </row>
    <row r="107" spans="1:5" s="3" customFormat="1" ht="33" customHeight="1" x14ac:dyDescent="0.35">
      <c r="A107" s="6" t="s">
        <v>183</v>
      </c>
      <c r="B107" s="7" t="s">
        <v>184</v>
      </c>
      <c r="C107" s="7" t="s">
        <v>1215</v>
      </c>
      <c r="D107" s="7" t="s">
        <v>1235</v>
      </c>
      <c r="E107" s="3" t="str">
        <f>HYPERLINK("https://www.pchmayoreo.com/index.php/catalogsearch/result/?q=AC-447111-3", "Ir a sitio web")</f>
        <v>Ir a sitio web</v>
      </c>
    </row>
    <row r="108" spans="1:5" s="3" customFormat="1" ht="33" customHeight="1" x14ac:dyDescent="0.35">
      <c r="A108" s="6" t="s">
        <v>185</v>
      </c>
      <c r="B108" s="7" t="s">
        <v>186</v>
      </c>
      <c r="C108" s="7" t="s">
        <v>1215</v>
      </c>
      <c r="D108" s="7" t="s">
        <v>1235</v>
      </c>
      <c r="E108" s="3" t="str">
        <f>HYPERLINK("https://www.pchmayoreo.com/index.php/catalogsearch/result/?q=AC-487111-1", "Ir a sitio web")</f>
        <v>Ir a sitio web</v>
      </c>
    </row>
    <row r="109" spans="1:5" s="3" customFormat="1" ht="33" customHeight="1" x14ac:dyDescent="0.35">
      <c r="A109" s="6" t="s">
        <v>187</v>
      </c>
      <c r="B109" s="7" t="s">
        <v>188</v>
      </c>
      <c r="C109" s="7" t="s">
        <v>1215</v>
      </c>
      <c r="D109" s="7" t="s">
        <v>1235</v>
      </c>
      <c r="E109" s="3" t="str">
        <f>HYPERLINK("https://www.pchmayoreo.com/index.php/catalogsearch/result/?q=AC-447111-2", "Ir a sitio web")</f>
        <v>Ir a sitio web</v>
      </c>
    </row>
    <row r="110" spans="1:5" s="3" customFormat="1" ht="33" customHeight="1" x14ac:dyDescent="0.35">
      <c r="A110" s="6" t="s">
        <v>189</v>
      </c>
      <c r="B110" s="7" t="s">
        <v>190</v>
      </c>
      <c r="C110" s="7" t="s">
        <v>1215</v>
      </c>
      <c r="D110" s="7" t="s">
        <v>1236</v>
      </c>
      <c r="E110" s="3" t="str">
        <f>HYPERLINK("https://www.pchmayoreo.com/index.php/catalogsearch/result/?q=AC-412635-2", "Ir a sitio web")</f>
        <v>Ir a sitio web</v>
      </c>
    </row>
    <row r="111" spans="1:5" s="3" customFormat="1" ht="33" customHeight="1" x14ac:dyDescent="0.35">
      <c r="A111" s="6" t="s">
        <v>191</v>
      </c>
      <c r="B111" s="7" t="s">
        <v>192</v>
      </c>
      <c r="C111" s="7" t="s">
        <v>1215</v>
      </c>
      <c r="D111" s="7" t="s">
        <v>1236</v>
      </c>
      <c r="E111" s="3" t="str">
        <f>HYPERLINK("https://www.pchmayoreo.com/index.php/catalogsearch/result/?q=AC-412635-1", "Ir a sitio web")</f>
        <v>Ir a sitio web</v>
      </c>
    </row>
    <row r="112" spans="1:5" s="3" customFormat="1" ht="33" customHeight="1" x14ac:dyDescent="0.35">
      <c r="A112" s="6" t="s">
        <v>193</v>
      </c>
      <c r="B112" s="7" t="s">
        <v>194</v>
      </c>
      <c r="C112" s="7" t="s">
        <v>1237</v>
      </c>
      <c r="D112" s="7" t="s">
        <v>1238</v>
      </c>
      <c r="E112" s="5" t="str">
        <f>HYPERLINK("https://www.pchmayoreo.com/index.php/catalogsearch/result/?q=PA-613211-7", "Ir a sitio web")</f>
        <v>Ir a sitio web</v>
      </c>
    </row>
    <row r="113" spans="1:5" s="3" customFormat="1" ht="33" customHeight="1" x14ac:dyDescent="0.35">
      <c r="A113" s="6" t="s">
        <v>195</v>
      </c>
      <c r="B113" s="7" t="s">
        <v>196</v>
      </c>
      <c r="C113" s="7" t="s">
        <v>1237</v>
      </c>
      <c r="D113" s="7" t="s">
        <v>1238</v>
      </c>
      <c r="E113" s="5" t="str">
        <f>HYPERLINK("https://www.pchmayoreo.com/index.php/catalogsearch/result/?q=PA-613211-6", "Ir a sitio web")</f>
        <v>Ir a sitio web</v>
      </c>
    </row>
    <row r="114" spans="1:5" s="3" customFormat="1" ht="33" customHeight="1" x14ac:dyDescent="0.35">
      <c r="A114" s="6" t="s">
        <v>197</v>
      </c>
      <c r="B114" s="7" t="s">
        <v>198</v>
      </c>
      <c r="C114" s="7" t="s">
        <v>1232</v>
      </c>
      <c r="D114" s="7" t="s">
        <v>1238</v>
      </c>
      <c r="E114" s="5" t="str">
        <f>HYPERLINK("https://www.pchmayoreo.com/index.php/catalogsearch/result/?q=AU-363211-1", "Ir a sitio web")</f>
        <v>Ir a sitio web</v>
      </c>
    </row>
    <row r="115" spans="1:5" s="3" customFormat="1" ht="33" customHeight="1" x14ac:dyDescent="0.35">
      <c r="A115" s="6" t="s">
        <v>199</v>
      </c>
      <c r="B115" s="7" t="s">
        <v>200</v>
      </c>
      <c r="C115" s="7" t="s">
        <v>1232</v>
      </c>
      <c r="D115" s="7" t="s">
        <v>1238</v>
      </c>
      <c r="E115" s="5" t="str">
        <f>HYPERLINK("https://www.pchmayoreo.com/index.php/catalogsearch/result/?q=AU-363274-9", "Ir a sitio web")</f>
        <v>Ir a sitio web</v>
      </c>
    </row>
    <row r="116" spans="1:5" s="3" customFormat="1" ht="33" customHeight="1" x14ac:dyDescent="0.35">
      <c r="A116" s="6" t="s">
        <v>201</v>
      </c>
      <c r="B116" s="7" t="s">
        <v>202</v>
      </c>
      <c r="C116" s="7" t="s">
        <v>1226</v>
      </c>
      <c r="D116" s="7" t="s">
        <v>1239</v>
      </c>
      <c r="E116" s="3" t="str">
        <f>HYPERLINK("https://www.pchmayoreo.com/index.php/catalogsearch/result/?q=GD-476791-12", "Ir a sitio web")</f>
        <v>Ir a sitio web</v>
      </c>
    </row>
    <row r="117" spans="1:5" s="3" customFormat="1" ht="33" customHeight="1" x14ac:dyDescent="0.35">
      <c r="A117" s="6" t="s">
        <v>203</v>
      </c>
      <c r="B117" s="7" t="s">
        <v>204</v>
      </c>
      <c r="C117" s="7" t="s">
        <v>1215</v>
      </c>
      <c r="D117" s="7" t="s">
        <v>1240</v>
      </c>
      <c r="E117" s="3" t="str">
        <f>HYPERLINK("https://www.pchmayoreo.com/index.php/catalogsearch/result/?q=EC-488616-4", "Ir a sitio web")</f>
        <v>Ir a sitio web</v>
      </c>
    </row>
    <row r="118" spans="1:5" s="3" customFormat="1" ht="33" customHeight="1" x14ac:dyDescent="0.35">
      <c r="A118" s="6" t="s">
        <v>205</v>
      </c>
      <c r="B118" s="7" t="s">
        <v>206</v>
      </c>
      <c r="C118" s="7" t="s">
        <v>1241</v>
      </c>
      <c r="D118" s="7" t="s">
        <v>1242</v>
      </c>
      <c r="E118" s="3" t="str">
        <f>HYPERLINK("https://www.pchmayoreo.com/index.php/catalogsearch/result/?q=VI-476814-13", "Ir a sitio web")</f>
        <v>Ir a sitio web</v>
      </c>
    </row>
    <row r="119" spans="1:5" s="3" customFormat="1" ht="33" customHeight="1" x14ac:dyDescent="0.35">
      <c r="A119" s="6" t="s">
        <v>207</v>
      </c>
      <c r="B119" s="7" t="s">
        <v>208</v>
      </c>
      <c r="C119" s="7" t="s">
        <v>1243</v>
      </c>
      <c r="D119" s="7" t="s">
        <v>1244</v>
      </c>
      <c r="E119" s="3" t="str">
        <f>HYPERLINK("https://www.pchmayoreo.com/index.php/catalogsearch/result/?q=IM-594312-2", "Ir a sitio web")</f>
        <v>Ir a sitio web</v>
      </c>
    </row>
    <row r="120" spans="1:5" s="3" customFormat="1" ht="33" customHeight="1" x14ac:dyDescent="0.35">
      <c r="A120" s="6" t="s">
        <v>209</v>
      </c>
      <c r="B120" s="7" t="s">
        <v>210</v>
      </c>
      <c r="C120" s="7" t="s">
        <v>1102</v>
      </c>
      <c r="D120" s="7" t="s">
        <v>1245</v>
      </c>
      <c r="E120" s="3" t="str">
        <f>HYPERLINK("https://www.pchmayoreo.com/index.php/catalogsearch/result/?q=PV-393410-11", "Ir a sitio web")</f>
        <v>Ir a sitio web</v>
      </c>
    </row>
    <row r="121" spans="1:5" s="3" customFormat="1" ht="33" customHeight="1" x14ac:dyDescent="0.35">
      <c r="A121" s="6" t="s">
        <v>211</v>
      </c>
      <c r="B121" s="7" t="s">
        <v>212</v>
      </c>
      <c r="C121" s="7" t="s">
        <v>1243</v>
      </c>
      <c r="D121" s="7" t="s">
        <v>1245</v>
      </c>
      <c r="E121" s="3" t="str">
        <f>HYPERLINK("https://www.pchmayoreo.com/index.php/catalogsearch/result/?q=IM-413411-14", "Ir a sitio web")</f>
        <v>Ir a sitio web</v>
      </c>
    </row>
    <row r="122" spans="1:5" s="3" customFormat="1" ht="33" customHeight="1" x14ac:dyDescent="0.35">
      <c r="A122" s="6" t="s">
        <v>213</v>
      </c>
      <c r="B122" s="7" t="s">
        <v>214</v>
      </c>
      <c r="C122" s="7" t="s">
        <v>1102</v>
      </c>
      <c r="D122" s="7" t="s">
        <v>1245</v>
      </c>
      <c r="E122" s="3" t="str">
        <f>HYPERLINK("https://www.pchmayoreo.com/index.php/catalogsearch/result/?q=IM-393410-1", "Ir a sitio web")</f>
        <v>Ir a sitio web</v>
      </c>
    </row>
    <row r="123" spans="1:5" s="3" customFormat="1" ht="33" customHeight="1" x14ac:dyDescent="0.35">
      <c r="A123" s="6" t="s">
        <v>215</v>
      </c>
      <c r="B123" s="7" t="s">
        <v>216</v>
      </c>
      <c r="C123" s="7" t="s">
        <v>1243</v>
      </c>
      <c r="D123" s="7" t="s">
        <v>1245</v>
      </c>
      <c r="E123" s="3" t="str">
        <f>HYPERLINK("https://www.pchmayoreo.com/index.php/catalogsearch/result/?q=IM-573411-1", "Ir a sitio web")</f>
        <v>Ir a sitio web</v>
      </c>
    </row>
    <row r="124" spans="1:5" s="3" customFormat="1" ht="33" customHeight="1" x14ac:dyDescent="0.35">
      <c r="A124" s="6" t="s">
        <v>217</v>
      </c>
      <c r="B124" s="7" t="s">
        <v>218</v>
      </c>
      <c r="C124" s="7" t="s">
        <v>1246</v>
      </c>
      <c r="D124" s="7" t="s">
        <v>1245</v>
      </c>
      <c r="E124" s="3" t="str">
        <f>HYPERLINK("https://www.pchmayoreo.com/index.php/catalogsearch/result/?q=VP-427370-2", "Ir a sitio web")</f>
        <v>Ir a sitio web</v>
      </c>
    </row>
    <row r="125" spans="1:5" s="3" customFormat="1" ht="33" customHeight="1" x14ac:dyDescent="0.35">
      <c r="A125" s="6" t="s">
        <v>219</v>
      </c>
      <c r="B125" s="7" t="s">
        <v>220</v>
      </c>
      <c r="C125" s="7" t="s">
        <v>1102</v>
      </c>
      <c r="D125" s="7" t="s">
        <v>1245</v>
      </c>
      <c r="E125" s="3" t="str">
        <f>HYPERLINK("https://www.pchmayoreo.com/index.php/catalogsearch/result/?q=PV-393410-2", "Ir a sitio web")</f>
        <v>Ir a sitio web</v>
      </c>
    </row>
    <row r="126" spans="1:5" s="3" customFormat="1" ht="33" customHeight="1" x14ac:dyDescent="0.35">
      <c r="A126" s="6" t="s">
        <v>221</v>
      </c>
      <c r="B126" s="7" t="s">
        <v>222</v>
      </c>
      <c r="C126" s="7" t="s">
        <v>1246</v>
      </c>
      <c r="D126" s="7" t="s">
        <v>1245</v>
      </c>
      <c r="E126" s="3" t="str">
        <f>HYPERLINK("https://www.pchmayoreo.com/index.php/catalogsearch/result/?q=VP-423484-77", "Ir a sitio web")</f>
        <v>Ir a sitio web</v>
      </c>
    </row>
    <row r="127" spans="1:5" s="3" customFormat="1" ht="33" customHeight="1" x14ac:dyDescent="0.35">
      <c r="A127" s="6" t="s">
        <v>223</v>
      </c>
      <c r="B127" s="7" t="s">
        <v>224</v>
      </c>
      <c r="C127" s="7" t="s">
        <v>1246</v>
      </c>
      <c r="D127" s="7" t="s">
        <v>1245</v>
      </c>
      <c r="E127" s="3" t="str">
        <f>HYPERLINK("https://www.pchmayoreo.com/index.php/catalogsearch/result/?q=AC-423411-2", "Ir a sitio web")</f>
        <v>Ir a sitio web</v>
      </c>
    </row>
    <row r="128" spans="1:5" s="3" customFormat="1" ht="33" customHeight="1" x14ac:dyDescent="0.35">
      <c r="A128" s="6" t="s">
        <v>225</v>
      </c>
      <c r="B128" s="7" t="s">
        <v>226</v>
      </c>
      <c r="C128" s="7" t="s">
        <v>1102</v>
      </c>
      <c r="D128" s="7" t="s">
        <v>1245</v>
      </c>
      <c r="E128" s="3" t="str">
        <f>HYPERLINK("https://www.pchmayoreo.com/index.php/catalogsearch/result/?q=PV-393499-1", "Ir a sitio web")</f>
        <v>Ir a sitio web</v>
      </c>
    </row>
    <row r="129" spans="1:5" s="3" customFormat="1" ht="33" customHeight="1" x14ac:dyDescent="0.35">
      <c r="A129" s="6" t="s">
        <v>227</v>
      </c>
      <c r="B129" s="7" t="s">
        <v>228</v>
      </c>
      <c r="C129" s="7" t="s">
        <v>1102</v>
      </c>
      <c r="D129" s="7" t="s">
        <v>1245</v>
      </c>
      <c r="E129" s="3" t="str">
        <f>HYPERLINK("https://www.pchmayoreo.com/index.php/catalogsearch/result/?q=PV-393480-4", "Ir a sitio web")</f>
        <v>Ir a sitio web</v>
      </c>
    </row>
    <row r="130" spans="1:5" s="3" customFormat="1" ht="33" customHeight="1" x14ac:dyDescent="0.35">
      <c r="A130" s="6" t="s">
        <v>229</v>
      </c>
      <c r="B130" s="7" t="s">
        <v>230</v>
      </c>
      <c r="C130" s="7" t="s">
        <v>1247</v>
      </c>
      <c r="D130" s="7" t="s">
        <v>1245</v>
      </c>
      <c r="E130" s="3" t="str">
        <f>HYPERLINK("https://www.pchmayoreo.com/index.php/catalogsearch/result/?q=CO-423412-6", "Ir a sitio web")</f>
        <v>Ir a sitio web</v>
      </c>
    </row>
    <row r="131" spans="1:5" s="3" customFormat="1" ht="33" customHeight="1" x14ac:dyDescent="0.35">
      <c r="A131" s="6" t="s">
        <v>231</v>
      </c>
      <c r="B131" s="7" t="s">
        <v>232</v>
      </c>
      <c r="C131" s="7" t="s">
        <v>1243</v>
      </c>
      <c r="D131" s="7" t="s">
        <v>1245</v>
      </c>
      <c r="E131" s="3" t="str">
        <f>HYPERLINK("https://www.pchmayoreo.com/index.php/catalogsearch/result/?q=IM-138033-2", "Ir a sitio web")</f>
        <v>Ir a sitio web</v>
      </c>
    </row>
    <row r="132" spans="1:5" s="3" customFormat="1" ht="33" customHeight="1" x14ac:dyDescent="0.35">
      <c r="A132" s="6" t="s">
        <v>233</v>
      </c>
      <c r="B132" s="7" t="s">
        <v>234</v>
      </c>
      <c r="C132" s="7" t="s">
        <v>1215</v>
      </c>
      <c r="D132" s="7" t="s">
        <v>1248</v>
      </c>
      <c r="E132" s="3" t="str">
        <f>HYPERLINK("https://www.pchmayoreo.com/index.php/catalogsearch/result/?q=CB-590108-5", "Ir a sitio web")</f>
        <v>Ir a sitio web</v>
      </c>
    </row>
    <row r="133" spans="1:5" s="3" customFormat="1" ht="33" customHeight="1" x14ac:dyDescent="0.35">
      <c r="A133" s="6" t="s">
        <v>235</v>
      </c>
      <c r="B133" s="7" t="s">
        <v>236</v>
      </c>
      <c r="C133" s="7" t="s">
        <v>1102</v>
      </c>
      <c r="D133" s="7" t="s">
        <v>1249</v>
      </c>
      <c r="E133" s="3" t="str">
        <f>HYPERLINK("https://www.pchmayoreo.com/index.php/catalogsearch/result/?q=PV-404783-4", "Ir a sitio web")</f>
        <v>Ir a sitio web</v>
      </c>
    </row>
    <row r="134" spans="1:5" s="3" customFormat="1" ht="33" customHeight="1" x14ac:dyDescent="0.35">
      <c r="A134" s="6" t="s">
        <v>237</v>
      </c>
      <c r="B134" s="7" t="s">
        <v>238</v>
      </c>
      <c r="C134" s="7" t="s">
        <v>1247</v>
      </c>
      <c r="D134" s="7" t="s">
        <v>1225</v>
      </c>
      <c r="E134" s="3" t="str">
        <f>HYPERLINK("https://www.pchmayoreo.com/index.php/catalogsearch/result/?q=CO-451312-7", "Ir a sitio web")</f>
        <v>Ir a sitio web</v>
      </c>
    </row>
    <row r="135" spans="1:5" s="3" customFormat="1" ht="33" customHeight="1" x14ac:dyDescent="0.35">
      <c r="A135" s="6" t="s">
        <v>239</v>
      </c>
      <c r="B135" s="7" t="s">
        <v>240</v>
      </c>
      <c r="C135" s="7" t="s">
        <v>1247</v>
      </c>
      <c r="D135" s="7" t="s">
        <v>1225</v>
      </c>
      <c r="E135" s="3" t="str">
        <f>HYPERLINK("https://www.pchmayoreo.com/index.php/catalogsearch/result/?q=CO-451312-6", "Ir a sitio web")</f>
        <v>Ir a sitio web</v>
      </c>
    </row>
    <row r="136" spans="1:5" s="3" customFormat="1" ht="33" customHeight="1" x14ac:dyDescent="0.35">
      <c r="A136" s="6" t="s">
        <v>241</v>
      </c>
      <c r="B136" s="7" t="s">
        <v>242</v>
      </c>
      <c r="C136" s="7" t="s">
        <v>1243</v>
      </c>
      <c r="D136" s="7" t="s">
        <v>1225</v>
      </c>
      <c r="E136" s="3" t="str">
        <f>HYPERLINK("https://www.pchmayoreo.com/index.php/catalogsearch/result/?q=IM-593178-2", "Ir a sitio web")</f>
        <v>Ir a sitio web</v>
      </c>
    </row>
    <row r="137" spans="1:5" s="3" customFormat="1" ht="33" customHeight="1" x14ac:dyDescent="0.35">
      <c r="A137" s="6" t="s">
        <v>243</v>
      </c>
      <c r="B137" s="7" t="s">
        <v>244</v>
      </c>
      <c r="C137" s="7" t="s">
        <v>1247</v>
      </c>
      <c r="D137" s="7" t="s">
        <v>1225</v>
      </c>
      <c r="E137" s="3" t="str">
        <f>HYPERLINK("https://www.pchmayoreo.com/index.php/catalogsearch/result/?q=CO-451312-8", "Ir a sitio web")</f>
        <v>Ir a sitio web</v>
      </c>
    </row>
    <row r="138" spans="1:5" s="3" customFormat="1" ht="33" customHeight="1" x14ac:dyDescent="0.35">
      <c r="A138" s="6" t="s">
        <v>245</v>
      </c>
      <c r="B138" s="7" t="s">
        <v>246</v>
      </c>
      <c r="C138" s="7" t="s">
        <v>1247</v>
      </c>
      <c r="D138" s="7" t="s">
        <v>1225</v>
      </c>
      <c r="E138" s="3" t="str">
        <f>HYPERLINK("https://www.pchmayoreo.com/index.php/catalogsearch/result/?q=CO-453175-7", "Ir a sitio web")</f>
        <v>Ir a sitio web</v>
      </c>
    </row>
    <row r="139" spans="1:5" s="3" customFormat="1" ht="33" customHeight="1" x14ac:dyDescent="0.35">
      <c r="A139" s="6" t="s">
        <v>247</v>
      </c>
      <c r="B139" s="7" t="s">
        <v>248</v>
      </c>
      <c r="C139" s="7" t="s">
        <v>1247</v>
      </c>
      <c r="D139" s="7" t="s">
        <v>1225</v>
      </c>
      <c r="E139" s="3" t="str">
        <f>HYPERLINK("https://www.pchmayoreo.com/index.php/catalogsearch/result/?q=CO-450551-4", "Ir a sitio web")</f>
        <v>Ir a sitio web</v>
      </c>
    </row>
    <row r="140" spans="1:5" s="3" customFormat="1" ht="33" customHeight="1" x14ac:dyDescent="0.35">
      <c r="A140" s="6" t="s">
        <v>249</v>
      </c>
      <c r="B140" s="7" t="s">
        <v>250</v>
      </c>
      <c r="C140" s="7" t="s">
        <v>1247</v>
      </c>
      <c r="D140" s="7" t="s">
        <v>1225</v>
      </c>
      <c r="E140" s="3" t="str">
        <f>HYPERLINK("https://www.pchmayoreo.com/index.php/catalogsearch/result/?q=CO-373189-4", "Ir a sitio web")</f>
        <v>Ir a sitio web</v>
      </c>
    </row>
    <row r="141" spans="1:5" s="3" customFormat="1" ht="33" customHeight="1" x14ac:dyDescent="0.35">
      <c r="A141" s="6" t="s">
        <v>251</v>
      </c>
      <c r="B141" s="7" t="s">
        <v>252</v>
      </c>
      <c r="C141" s="7" t="s">
        <v>1247</v>
      </c>
      <c r="D141" s="7" t="s">
        <v>1225</v>
      </c>
      <c r="E141" s="3" t="str">
        <f>HYPERLINK("https://www.pchmayoreo.com/index.php/catalogsearch/result/?q=CO-0009005-1", "Ir a sitio web")</f>
        <v>Ir a sitio web</v>
      </c>
    </row>
    <row r="142" spans="1:5" s="3" customFormat="1" ht="33" customHeight="1" x14ac:dyDescent="0.35">
      <c r="A142" s="6" t="s">
        <v>253</v>
      </c>
      <c r="B142" s="7" t="s">
        <v>254</v>
      </c>
      <c r="C142" s="7" t="s">
        <v>1247</v>
      </c>
      <c r="D142" s="7" t="s">
        <v>1225</v>
      </c>
      <c r="E142" s="3" t="str">
        <f>HYPERLINK("https://www.pchmayoreo.com/index.php/catalogsearch/result/?q=CO-373189-18", "Ir a sitio web")</f>
        <v>Ir a sitio web</v>
      </c>
    </row>
    <row r="143" spans="1:5" s="3" customFormat="1" ht="33" customHeight="1" x14ac:dyDescent="0.35">
      <c r="A143" s="6" t="s">
        <v>255</v>
      </c>
      <c r="B143" s="7" t="s">
        <v>256</v>
      </c>
      <c r="C143" s="7" t="s">
        <v>1247</v>
      </c>
      <c r="D143" s="7" t="s">
        <v>1225</v>
      </c>
      <c r="E143" s="3" t="str">
        <f>HYPERLINK("https://www.pchmayoreo.com/index.php/catalogsearch/result/?q=CO-372312-51", "Ir a sitio web")</f>
        <v>Ir a sitio web</v>
      </c>
    </row>
    <row r="144" spans="1:5" s="3" customFormat="1" ht="33" customHeight="1" x14ac:dyDescent="0.35">
      <c r="A144" s="6" t="s">
        <v>257</v>
      </c>
      <c r="B144" s="7" t="s">
        <v>258</v>
      </c>
      <c r="C144" s="7" t="s">
        <v>1247</v>
      </c>
      <c r="D144" s="7" t="s">
        <v>1225</v>
      </c>
      <c r="E144" s="3" t="str">
        <f>HYPERLINK("https://www.pchmayoreo.com/index.php/catalogsearch/result/?q=CO-373189-27", "Ir a sitio web")</f>
        <v>Ir a sitio web</v>
      </c>
    </row>
    <row r="145" spans="1:5" s="3" customFormat="1" ht="33" customHeight="1" x14ac:dyDescent="0.35">
      <c r="A145" s="6" t="s">
        <v>259</v>
      </c>
      <c r="B145" s="7" t="s">
        <v>260</v>
      </c>
      <c r="C145" s="7" t="s">
        <v>1247</v>
      </c>
      <c r="D145" s="7" t="s">
        <v>1225</v>
      </c>
      <c r="E145" s="3" t="str">
        <f>HYPERLINK("https://www.pchmayoreo.com/index.php/catalogsearch/result/?q=CO-453179-31", "Ir a sitio web")</f>
        <v>Ir a sitio web</v>
      </c>
    </row>
    <row r="146" spans="1:5" s="3" customFormat="1" ht="33" customHeight="1" x14ac:dyDescent="0.35">
      <c r="A146" s="6" t="s">
        <v>261</v>
      </c>
      <c r="B146" s="7" t="s">
        <v>262</v>
      </c>
      <c r="C146" s="7" t="s">
        <v>1247</v>
      </c>
      <c r="D146" s="7" t="s">
        <v>1225</v>
      </c>
      <c r="E146" s="3" t="str">
        <f>HYPERLINK("https://www.pchmayoreo.com/index.php/catalogsearch/result/?q=CO-373189-28", "Ir a sitio web")</f>
        <v>Ir a sitio web</v>
      </c>
    </row>
    <row r="147" spans="1:5" s="3" customFormat="1" ht="33" customHeight="1" x14ac:dyDescent="0.35">
      <c r="A147" s="6" t="s">
        <v>263</v>
      </c>
      <c r="B147" s="7" t="s">
        <v>264</v>
      </c>
      <c r="C147" s="7" t="s">
        <v>1247</v>
      </c>
      <c r="D147" s="7" t="s">
        <v>1225</v>
      </c>
      <c r="E147" s="3" t="str">
        <f>HYPERLINK("https://www.pchmayoreo.com/index.php/catalogsearch/result/?q=CO-373189-19", "Ir a sitio web")</f>
        <v>Ir a sitio web</v>
      </c>
    </row>
    <row r="148" spans="1:5" s="3" customFormat="1" ht="33" customHeight="1" x14ac:dyDescent="0.35">
      <c r="A148" s="6" t="s">
        <v>265</v>
      </c>
      <c r="B148" s="7" t="s">
        <v>266</v>
      </c>
      <c r="C148" s="7" t="s">
        <v>1247</v>
      </c>
      <c r="D148" s="7" t="s">
        <v>1225</v>
      </c>
      <c r="E148" s="3" t="str">
        <f>HYPERLINK("https://www.pchmayoreo.com/index.php/catalogsearch/result/?q=CO-373178-19", "Ir a sitio web")</f>
        <v>Ir a sitio web</v>
      </c>
    </row>
    <row r="149" spans="1:5" s="3" customFormat="1" ht="33" customHeight="1" x14ac:dyDescent="0.35">
      <c r="A149" s="6" t="s">
        <v>267</v>
      </c>
      <c r="B149" s="7" t="s">
        <v>268</v>
      </c>
      <c r="C149" s="7" t="s">
        <v>1247</v>
      </c>
      <c r="D149" s="7" t="s">
        <v>1225</v>
      </c>
      <c r="E149" s="3" t="str">
        <f>HYPERLINK("https://www.pchmayoreo.com/index.php/catalogsearch/result/?q=CO-373189-29", "Ir a sitio web")</f>
        <v>Ir a sitio web</v>
      </c>
    </row>
    <row r="150" spans="1:5" s="3" customFormat="1" ht="33" customHeight="1" x14ac:dyDescent="0.35">
      <c r="A150" s="6" t="s">
        <v>269</v>
      </c>
      <c r="B150" s="7" t="s">
        <v>270</v>
      </c>
      <c r="C150" s="7" t="s">
        <v>1247</v>
      </c>
      <c r="D150" s="7" t="s">
        <v>1225</v>
      </c>
      <c r="E150" s="3" t="str">
        <f>HYPERLINK("https://www.pchmayoreo.com/index.php/catalogsearch/result/?q=CO-372312-62", "Ir a sitio web")</f>
        <v>Ir a sitio web</v>
      </c>
    </row>
    <row r="151" spans="1:5" s="3" customFormat="1" ht="33" customHeight="1" x14ac:dyDescent="0.35">
      <c r="A151" s="6" t="s">
        <v>271</v>
      </c>
      <c r="B151" s="7" t="s">
        <v>272</v>
      </c>
      <c r="C151" s="7" t="s">
        <v>1247</v>
      </c>
      <c r="D151" s="7" t="s">
        <v>1225</v>
      </c>
      <c r="E151" s="3" t="str">
        <f>HYPERLINK("https://www.pchmayoreo.com/index.php/catalogsearch/result/?q=CO-372312-48", "Ir a sitio web")</f>
        <v>Ir a sitio web</v>
      </c>
    </row>
    <row r="152" spans="1:5" s="3" customFormat="1" ht="33" customHeight="1" x14ac:dyDescent="0.35">
      <c r="A152" s="6" t="s">
        <v>273</v>
      </c>
      <c r="B152" s="7" t="s">
        <v>274</v>
      </c>
      <c r="C152" s="7" t="s">
        <v>1247</v>
      </c>
      <c r="D152" s="7" t="s">
        <v>1225</v>
      </c>
      <c r="E152" s="3" t="str">
        <f>HYPERLINK("https://www.pchmayoreo.com/index.php/catalogsearch/result/?q=CO-373178-37", "Ir a sitio web")</f>
        <v>Ir a sitio web</v>
      </c>
    </row>
    <row r="153" spans="1:5" s="3" customFormat="1" ht="33" customHeight="1" x14ac:dyDescent="0.35">
      <c r="A153" s="6" t="s">
        <v>275</v>
      </c>
      <c r="B153" s="7" t="s">
        <v>276</v>
      </c>
      <c r="C153" s="7" t="s">
        <v>1247</v>
      </c>
      <c r="D153" s="7" t="s">
        <v>1225</v>
      </c>
      <c r="E153" s="3" t="str">
        <f>HYPERLINK("https://www.pchmayoreo.com/index.php/catalogsearch/result/?q=CO-373189-17", "Ir a sitio web")</f>
        <v>Ir a sitio web</v>
      </c>
    </row>
    <row r="154" spans="1:5" s="3" customFormat="1" ht="33" customHeight="1" x14ac:dyDescent="0.35">
      <c r="A154" s="6" t="s">
        <v>277</v>
      </c>
      <c r="B154" s="7" t="s">
        <v>278</v>
      </c>
      <c r="C154" s="7" t="s">
        <v>1247</v>
      </c>
      <c r="D154" s="7" t="s">
        <v>1225</v>
      </c>
      <c r="E154" s="3" t="str">
        <f>HYPERLINK("https://www.pchmayoreo.com/index.php/catalogsearch/result/?q=CO-372312-26", "Ir a sitio web")</f>
        <v>Ir a sitio web</v>
      </c>
    </row>
    <row r="155" spans="1:5" s="3" customFormat="1" ht="33" customHeight="1" x14ac:dyDescent="0.35">
      <c r="A155" s="6" t="s">
        <v>279</v>
      </c>
      <c r="B155" s="7" t="s">
        <v>280</v>
      </c>
      <c r="C155" s="7" t="s">
        <v>1247</v>
      </c>
      <c r="D155" s="7" t="s">
        <v>1225</v>
      </c>
      <c r="E155" s="3" t="str">
        <f>HYPERLINK("https://www.pchmayoreo.com/index.php/catalogsearch/result/?q=CO-460552-17", "Ir a sitio web")</f>
        <v>Ir a sitio web</v>
      </c>
    </row>
    <row r="156" spans="1:5" s="3" customFormat="1" ht="33" customHeight="1" x14ac:dyDescent="0.35">
      <c r="A156" s="6" t="s">
        <v>281</v>
      </c>
      <c r="B156" s="7" t="s">
        <v>282</v>
      </c>
      <c r="C156" s="7" t="s">
        <v>1247</v>
      </c>
      <c r="D156" s="7" t="s">
        <v>1225</v>
      </c>
      <c r="E156" s="3" t="str">
        <f>HYPERLINK("https://www.pchmayoreo.com/index.php/catalogsearch/result/?q=CO-460551-37", "Ir a sitio web")</f>
        <v>Ir a sitio web</v>
      </c>
    </row>
    <row r="157" spans="1:5" s="3" customFormat="1" ht="33" customHeight="1" x14ac:dyDescent="0.35">
      <c r="A157" s="6" t="s">
        <v>283</v>
      </c>
      <c r="B157" s="7" t="s">
        <v>284</v>
      </c>
      <c r="C157" s="7" t="s">
        <v>1247</v>
      </c>
      <c r="D157" s="7" t="s">
        <v>1225</v>
      </c>
      <c r="E157" s="3" t="str">
        <f>HYPERLINK("https://www.pchmayoreo.com/index.php/catalogsearch/result/?q=CO-373189-1", "Ir a sitio web")</f>
        <v>Ir a sitio web</v>
      </c>
    </row>
    <row r="158" spans="1:5" s="3" customFormat="1" ht="33" customHeight="1" x14ac:dyDescent="0.35">
      <c r="A158" s="6" t="s">
        <v>285</v>
      </c>
      <c r="B158" s="7" t="s">
        <v>286</v>
      </c>
      <c r="C158" s="7" t="s">
        <v>1247</v>
      </c>
      <c r="D158" s="7" t="s">
        <v>1225</v>
      </c>
      <c r="E158" s="3" t="str">
        <f>HYPERLINK("https://www.pchmayoreo.com/index.php/catalogsearch/result/?q=CO-460552-36", "Ir a sitio web")</f>
        <v>Ir a sitio web</v>
      </c>
    </row>
    <row r="159" spans="1:5" s="3" customFormat="1" ht="33" customHeight="1" x14ac:dyDescent="0.35">
      <c r="A159" s="6" t="s">
        <v>287</v>
      </c>
      <c r="B159" s="7" t="s">
        <v>288</v>
      </c>
      <c r="C159" s="7" t="s">
        <v>1247</v>
      </c>
      <c r="D159" s="7" t="s">
        <v>1225</v>
      </c>
      <c r="E159" s="3" t="str">
        <f>HYPERLINK("https://www.pchmayoreo.com/index.php/catalogsearch/result/?q=CO-372312-24", "Ir a sitio web")</f>
        <v>Ir a sitio web</v>
      </c>
    </row>
    <row r="160" spans="1:5" s="3" customFormat="1" ht="33" customHeight="1" x14ac:dyDescent="0.35">
      <c r="A160" s="6" t="s">
        <v>289</v>
      </c>
      <c r="B160" s="7" t="s">
        <v>290</v>
      </c>
      <c r="C160" s="7" t="s">
        <v>1247</v>
      </c>
      <c r="D160" s="7" t="s">
        <v>1225</v>
      </c>
      <c r="E160" s="3" t="str">
        <f>HYPERLINK("https://www.pchmayoreo.com/index.php/catalogsearch/result/?q=CO-373189-6", "Ir a sitio web")</f>
        <v>Ir a sitio web</v>
      </c>
    </row>
    <row r="161" spans="1:5" s="3" customFormat="1" ht="33" customHeight="1" x14ac:dyDescent="0.35">
      <c r="A161" s="6" t="s">
        <v>291</v>
      </c>
      <c r="B161" s="7" t="s">
        <v>292</v>
      </c>
      <c r="C161" s="7" t="s">
        <v>1247</v>
      </c>
      <c r="D161" s="7" t="s">
        <v>1225</v>
      </c>
      <c r="E161" s="3" t="str">
        <f>HYPERLINK("https://www.pchmayoreo.com/index.php/catalogsearch/result/?q=CO-373189-21", "Ir a sitio web")</f>
        <v>Ir a sitio web</v>
      </c>
    </row>
    <row r="162" spans="1:5" s="3" customFormat="1" ht="33" customHeight="1" x14ac:dyDescent="0.35">
      <c r="A162" s="6" t="s">
        <v>293</v>
      </c>
      <c r="B162" s="7" t="s">
        <v>294</v>
      </c>
      <c r="C162" s="7" t="s">
        <v>1247</v>
      </c>
      <c r="D162" s="7" t="s">
        <v>1225</v>
      </c>
      <c r="E162" s="3" t="str">
        <f>HYPERLINK("https://www.pchmayoreo.com/index.php/catalogsearch/result/?q=CO-373189-2", "Ir a sitio web")</f>
        <v>Ir a sitio web</v>
      </c>
    </row>
    <row r="163" spans="1:5" s="3" customFormat="1" ht="33" customHeight="1" x14ac:dyDescent="0.35">
      <c r="A163" s="6" t="s">
        <v>295</v>
      </c>
      <c r="B163" s="7" t="s">
        <v>296</v>
      </c>
      <c r="C163" s="7" t="s">
        <v>1247</v>
      </c>
      <c r="D163" s="7" t="s">
        <v>1225</v>
      </c>
      <c r="E163" s="3" t="str">
        <f>HYPERLINK("https://www.pchmayoreo.com/index.php/catalogsearch/result/?q=CO-373189-3", "Ir a sitio web")</f>
        <v>Ir a sitio web</v>
      </c>
    </row>
    <row r="164" spans="1:5" s="3" customFormat="1" ht="33" customHeight="1" x14ac:dyDescent="0.35">
      <c r="A164" s="6" t="s">
        <v>297</v>
      </c>
      <c r="B164" s="7" t="s">
        <v>298</v>
      </c>
      <c r="C164" s="7" t="s">
        <v>1247</v>
      </c>
      <c r="D164" s="7" t="s">
        <v>1225</v>
      </c>
      <c r="E164" s="3" t="str">
        <f>HYPERLINK("https://www.pchmayoreo.com/index.php/catalogsearch/result/?q=CO-373189-37", "Ir a sitio web")</f>
        <v>Ir a sitio web</v>
      </c>
    </row>
    <row r="165" spans="1:5" s="3" customFormat="1" ht="33" customHeight="1" x14ac:dyDescent="0.35">
      <c r="A165" s="6" t="s">
        <v>299</v>
      </c>
      <c r="B165" s="7" t="s">
        <v>300</v>
      </c>
      <c r="C165" s="7" t="s">
        <v>1247</v>
      </c>
      <c r="D165" s="7" t="s">
        <v>1225</v>
      </c>
      <c r="E165" s="3" t="str">
        <f>HYPERLINK("https://www.pchmayoreo.com/index.php/catalogsearch/result/?q=CO-460551-35", "Ir a sitio web")</f>
        <v>Ir a sitio web</v>
      </c>
    </row>
    <row r="166" spans="1:5" s="3" customFormat="1" ht="33" customHeight="1" x14ac:dyDescent="0.35">
      <c r="A166" s="6" t="s">
        <v>301</v>
      </c>
      <c r="B166" s="7" t="s">
        <v>302</v>
      </c>
      <c r="C166" s="7" t="s">
        <v>1102</v>
      </c>
      <c r="D166" s="7" t="s">
        <v>1250</v>
      </c>
      <c r="E166" s="3" t="str">
        <f>HYPERLINK("https://www.pchmayoreo.com/index.php/catalogsearch/result/?q=AC-559563-73", "Ir a sitio web")</f>
        <v>Ir a sitio web</v>
      </c>
    </row>
    <row r="167" spans="1:5" s="3" customFormat="1" ht="33" customHeight="1" x14ac:dyDescent="0.35">
      <c r="A167" s="6" t="s">
        <v>303</v>
      </c>
      <c r="B167" s="7" t="s">
        <v>304</v>
      </c>
      <c r="C167" s="7" t="s">
        <v>1102</v>
      </c>
      <c r="D167" s="7" t="s">
        <v>1250</v>
      </c>
      <c r="E167" s="3" t="str">
        <f>HYPERLINK("https://www.pchmayoreo.com/index.php/catalogsearch/result/?q=PV-391394-2", "Ir a sitio web")</f>
        <v>Ir a sitio web</v>
      </c>
    </row>
    <row r="168" spans="1:5" s="3" customFormat="1" ht="33" customHeight="1" x14ac:dyDescent="0.35">
      <c r="A168" s="6" t="s">
        <v>305</v>
      </c>
      <c r="B168" s="7" t="s">
        <v>306</v>
      </c>
      <c r="C168" s="7" t="s">
        <v>1102</v>
      </c>
      <c r="D168" s="7" t="s">
        <v>1250</v>
      </c>
      <c r="E168" s="3" t="str">
        <f>HYPERLINK("https://www.pchmayoreo.com/index.php/catalogsearch/result/?q=CO-391394-1", "Ir a sitio web")</f>
        <v>Ir a sitio web</v>
      </c>
    </row>
    <row r="169" spans="1:5" s="3" customFormat="1" ht="33" customHeight="1" x14ac:dyDescent="0.35">
      <c r="A169" s="6" t="s">
        <v>307</v>
      </c>
      <c r="B169" s="7" t="s">
        <v>308</v>
      </c>
      <c r="C169" s="7" t="s">
        <v>1102</v>
      </c>
      <c r="D169" s="7" t="s">
        <v>1250</v>
      </c>
      <c r="E169" s="3" t="str">
        <f>HYPERLINK("https://www.pchmayoreo.com/index.php/catalogsearch/result/?q=PV-376394-6", "Ir a sitio web")</f>
        <v>Ir a sitio web</v>
      </c>
    </row>
    <row r="170" spans="1:5" s="3" customFormat="1" ht="33" customHeight="1" x14ac:dyDescent="0.35">
      <c r="A170" s="6" t="s">
        <v>309</v>
      </c>
      <c r="B170" s="7" t="s">
        <v>310</v>
      </c>
      <c r="C170" s="7" t="s">
        <v>1102</v>
      </c>
      <c r="D170" s="7" t="s">
        <v>1250</v>
      </c>
      <c r="E170" s="3" t="str">
        <f>HYPERLINK("https://www.pchmayoreo.com/index.php/catalogsearch/result/?q=CO-391394-2", "Ir a sitio web")</f>
        <v>Ir a sitio web</v>
      </c>
    </row>
    <row r="171" spans="1:5" s="3" customFormat="1" ht="33" customHeight="1" x14ac:dyDescent="0.35">
      <c r="A171" s="6" t="s">
        <v>311</v>
      </c>
      <c r="B171" s="7" t="s">
        <v>312</v>
      </c>
      <c r="C171" s="7" t="s">
        <v>1226</v>
      </c>
      <c r="D171" s="7" t="s">
        <v>1220</v>
      </c>
      <c r="E171" s="3" t="str">
        <f>HYPERLINK("https://www.pchmayoreo.com/index.php/catalogsearch/result/?q=TA-438316-1", "Ir a sitio web")</f>
        <v>Ir a sitio web</v>
      </c>
    </row>
    <row r="172" spans="1:5" s="3" customFormat="1" ht="33" customHeight="1" x14ac:dyDescent="0.35">
      <c r="A172" s="6" t="s">
        <v>313</v>
      </c>
      <c r="B172" s="7" t="s">
        <v>314</v>
      </c>
      <c r="C172" s="7" t="s">
        <v>1247</v>
      </c>
      <c r="D172" s="7" t="s">
        <v>1251</v>
      </c>
      <c r="E172" s="3" t="str">
        <f>HYPERLINK("https://www.pchmayoreo.com/index.php/catalogsearch/result/?q=CO-375996-6", "Ir a sitio web")</f>
        <v>Ir a sitio web</v>
      </c>
    </row>
    <row r="173" spans="1:5" s="3" customFormat="1" ht="33" customHeight="1" x14ac:dyDescent="0.35">
      <c r="A173" s="6" t="s">
        <v>315</v>
      </c>
      <c r="B173" s="7" t="s">
        <v>316</v>
      </c>
      <c r="C173" s="7" t="s">
        <v>1247</v>
      </c>
      <c r="D173" s="7" t="s">
        <v>1251</v>
      </c>
      <c r="E173" s="3" t="str">
        <f>HYPERLINK("https://www.pchmayoreo.com/index.php/catalogsearch/result/?q=IM-395910-1", "Ir a sitio web")</f>
        <v>Ir a sitio web</v>
      </c>
    </row>
    <row r="174" spans="1:5" s="3" customFormat="1" ht="33" customHeight="1" x14ac:dyDescent="0.35">
      <c r="A174" s="6" t="s">
        <v>317</v>
      </c>
      <c r="B174" s="7" t="s">
        <v>318</v>
      </c>
      <c r="C174" s="7" t="s">
        <v>1102</v>
      </c>
      <c r="D174" s="7" t="s">
        <v>1251</v>
      </c>
      <c r="E174" s="3" t="str">
        <f>HYPERLINK("https://www.pchmayoreo.com/index.php/catalogsearch/result/?q=PV-405973-1", "Ir a sitio web")</f>
        <v>Ir a sitio web</v>
      </c>
    </row>
    <row r="175" spans="1:5" s="3" customFormat="1" ht="33" customHeight="1" x14ac:dyDescent="0.35">
      <c r="A175" s="6" t="s">
        <v>319</v>
      </c>
      <c r="B175" s="7" t="s">
        <v>320</v>
      </c>
      <c r="C175" s="7" t="s">
        <v>1247</v>
      </c>
      <c r="D175" s="7" t="s">
        <v>1251</v>
      </c>
      <c r="E175" s="3" t="str">
        <f>HYPERLINK("https://www.pchmayoreo.com/index.php/catalogsearch/result/?q=CO-375910-1", "Ir a sitio web")</f>
        <v>Ir a sitio web</v>
      </c>
    </row>
    <row r="176" spans="1:5" s="3" customFormat="1" ht="33" customHeight="1" x14ac:dyDescent="0.35">
      <c r="A176" s="6" t="s">
        <v>321</v>
      </c>
      <c r="B176" s="7" t="s">
        <v>322</v>
      </c>
      <c r="C176" s="7" t="s">
        <v>1247</v>
      </c>
      <c r="D176" s="7" t="s">
        <v>1251</v>
      </c>
      <c r="E176" s="3" t="str">
        <f>HYPERLINK("https://www.pchmayoreo.com/index.php/catalogsearch/result/?q=CO-395999-1", "Ir a sitio web")</f>
        <v>Ir a sitio web</v>
      </c>
    </row>
    <row r="177" spans="1:5" s="3" customFormat="1" ht="33" customHeight="1" x14ac:dyDescent="0.35">
      <c r="A177" s="6" t="s">
        <v>323</v>
      </c>
      <c r="B177" s="7" t="s">
        <v>324</v>
      </c>
      <c r="C177" s="7" t="s">
        <v>1247</v>
      </c>
      <c r="D177" s="7" t="s">
        <v>1251</v>
      </c>
      <c r="E177" s="3" t="str">
        <f>HYPERLINK("https://www.pchmayoreo.com/index.php/catalogsearch/result/?q=PV-375995-3", "Ir a sitio web")</f>
        <v>Ir a sitio web</v>
      </c>
    </row>
    <row r="178" spans="1:5" s="3" customFormat="1" ht="33" customHeight="1" x14ac:dyDescent="0.35">
      <c r="A178" s="6" t="s">
        <v>325</v>
      </c>
      <c r="B178" s="7" t="s">
        <v>326</v>
      </c>
      <c r="C178" s="7" t="s">
        <v>1247</v>
      </c>
      <c r="D178" s="7" t="s">
        <v>1251</v>
      </c>
      <c r="E178" s="3" t="str">
        <f>HYPERLINK("https://www.pchmayoreo.com/index.php/catalogsearch/result/?q=CO-395999-2", "Ir a sitio web")</f>
        <v>Ir a sitio web</v>
      </c>
    </row>
    <row r="179" spans="1:5" s="3" customFormat="1" ht="33" customHeight="1" x14ac:dyDescent="0.35">
      <c r="A179" s="6" t="s">
        <v>327</v>
      </c>
      <c r="B179" s="7" t="s">
        <v>328</v>
      </c>
      <c r="C179" s="7" t="s">
        <v>1252</v>
      </c>
      <c r="D179" s="7" t="s">
        <v>1253</v>
      </c>
      <c r="E179" s="3" t="str">
        <f>HYPERLINK("https://www.pchmayoreo.com/index.php/catalogsearch/result/?q=RE-30153118-20", "Ir a sitio web")</f>
        <v>Ir a sitio web</v>
      </c>
    </row>
    <row r="180" spans="1:5" s="3" customFormat="1" ht="33" customHeight="1" x14ac:dyDescent="0.35">
      <c r="A180" s="6" t="s">
        <v>329</v>
      </c>
      <c r="B180" s="7" t="s">
        <v>330</v>
      </c>
      <c r="C180" s="7" t="s">
        <v>1254</v>
      </c>
      <c r="D180" s="7" t="s">
        <v>1255</v>
      </c>
      <c r="E180" s="3" t="str">
        <f>HYPERLINK("https://www.pchmayoreo.com/index.php/catalogsearch/result/?q=CB-392429-20", "Ir a sitio web")</f>
        <v>Ir a sitio web</v>
      </c>
    </row>
    <row r="181" spans="1:5" s="3" customFormat="1" ht="33" customHeight="1" x14ac:dyDescent="0.35">
      <c r="A181" s="6" t="s">
        <v>331</v>
      </c>
      <c r="B181" s="7" t="s">
        <v>332</v>
      </c>
      <c r="C181" s="7" t="s">
        <v>1254</v>
      </c>
      <c r="D181" s="7" t="s">
        <v>1255</v>
      </c>
      <c r="E181" s="3" t="str">
        <f>HYPERLINK("https://www.pchmayoreo.com/index.php/catalogsearch/result/?q=CB-392429-38", "Ir a sitio web")</f>
        <v>Ir a sitio web</v>
      </c>
    </row>
    <row r="182" spans="1:5" s="3" customFormat="1" ht="33" customHeight="1" x14ac:dyDescent="0.35">
      <c r="A182" s="6" t="s">
        <v>333</v>
      </c>
      <c r="B182" s="7" t="s">
        <v>334</v>
      </c>
      <c r="C182" s="7" t="s">
        <v>1254</v>
      </c>
      <c r="D182" s="7" t="s">
        <v>1255</v>
      </c>
      <c r="E182" s="3" t="str">
        <f>HYPERLINK("https://www.pchmayoreo.com/index.php/catalogsearch/result/?q=CB-392429-21", "Ir a sitio web")</f>
        <v>Ir a sitio web</v>
      </c>
    </row>
    <row r="183" spans="1:5" s="3" customFormat="1" ht="33" customHeight="1" x14ac:dyDescent="0.35">
      <c r="A183" s="6" t="s">
        <v>335</v>
      </c>
      <c r="B183" s="7" t="s">
        <v>336</v>
      </c>
      <c r="C183" s="7" t="s">
        <v>1256</v>
      </c>
      <c r="D183" s="7" t="s">
        <v>1257</v>
      </c>
      <c r="E183" s="5" t="str">
        <f>HYPERLINK("https://www.pchmayoreo.com/index.php/catalogsearch/result/?q=EN-416443-4", "Ir a sitio web")</f>
        <v>Ir a sitio web</v>
      </c>
    </row>
    <row r="184" spans="1:5" s="3" customFormat="1" ht="33" customHeight="1" x14ac:dyDescent="0.35">
      <c r="A184" s="6" t="s">
        <v>337</v>
      </c>
      <c r="B184" s="7" t="s">
        <v>338</v>
      </c>
      <c r="C184" s="7" t="s">
        <v>1256</v>
      </c>
      <c r="D184" s="7" t="s">
        <v>1257</v>
      </c>
      <c r="E184" s="5" t="str">
        <f>HYPERLINK("https://www.pchmayoreo.com/index.php/catalogsearch/result/?q=EN-19253120-15", "Ir a sitio web")</f>
        <v>Ir a sitio web</v>
      </c>
    </row>
    <row r="185" spans="1:5" s="3" customFormat="1" ht="33" customHeight="1" x14ac:dyDescent="0.35">
      <c r="A185" s="6" t="s">
        <v>339</v>
      </c>
      <c r="B185" s="7" t="s">
        <v>340</v>
      </c>
      <c r="C185" s="7" t="s">
        <v>1256</v>
      </c>
      <c r="D185" s="7" t="s">
        <v>1257</v>
      </c>
      <c r="E185" s="5" t="str">
        <f>HYPERLINK("https://www.pchmayoreo.com/index.php/catalogsearch/result/?q=EN-349443-1", "Ir a sitio web")</f>
        <v>Ir a sitio web</v>
      </c>
    </row>
    <row r="186" spans="1:5" s="3" customFormat="1" ht="33" customHeight="1" x14ac:dyDescent="0.35">
      <c r="A186" s="6" t="s">
        <v>341</v>
      </c>
      <c r="B186" s="7" t="s">
        <v>342</v>
      </c>
      <c r="C186" s="7" t="s">
        <v>1252</v>
      </c>
      <c r="D186" s="7" t="s">
        <v>1258</v>
      </c>
      <c r="E186" s="3" t="str">
        <f>HYPERLINK("https://www.pchmayoreo.com/index.php/catalogsearch/result/?q=RE-351454-10", "Ir a sitio web")</f>
        <v>Ir a sitio web</v>
      </c>
    </row>
    <row r="187" spans="1:5" s="3" customFormat="1" ht="33" customHeight="1" x14ac:dyDescent="0.35">
      <c r="A187" s="6" t="s">
        <v>343</v>
      </c>
      <c r="B187" s="7" t="s">
        <v>344</v>
      </c>
      <c r="C187" s="7" t="s">
        <v>1259</v>
      </c>
      <c r="D187" s="7" t="s">
        <v>1260</v>
      </c>
      <c r="E187" s="5" t="str">
        <f>HYPERLINK("https://www.pchmayoreo.com/index.php/catalogsearch/result/?q=SG-687115-3", "Ir a sitio web")</f>
        <v>Ir a sitio web</v>
      </c>
    </row>
    <row r="188" spans="1:5" s="3" customFormat="1" ht="33" customHeight="1" x14ac:dyDescent="0.35">
      <c r="A188" s="6" t="s">
        <v>345</v>
      </c>
      <c r="B188" s="7" t="s">
        <v>346</v>
      </c>
      <c r="C188" s="7" t="s">
        <v>1259</v>
      </c>
      <c r="D188" s="7" t="s">
        <v>1260</v>
      </c>
      <c r="E188" s="5" t="str">
        <f>HYPERLINK("https://www.pchmayoreo.com/index.php/catalogsearch/result/?q=SG-687115-5", "Ir a sitio web")</f>
        <v>Ir a sitio web</v>
      </c>
    </row>
    <row r="189" spans="1:5" s="3" customFormat="1" ht="33" customHeight="1" x14ac:dyDescent="0.35">
      <c r="A189" s="6" t="s">
        <v>347</v>
      </c>
      <c r="B189" s="7" t="s">
        <v>348</v>
      </c>
      <c r="C189" s="7" t="s">
        <v>1259</v>
      </c>
      <c r="D189" s="7" t="s">
        <v>1260</v>
      </c>
      <c r="E189" s="5" t="str">
        <f>HYPERLINK("https://www.pchmayoreo.com/index.php/catalogsearch/result/?q=SG-687115-4", "Ir a sitio web")</f>
        <v>Ir a sitio web</v>
      </c>
    </row>
    <row r="190" spans="1:5" s="3" customFormat="1" ht="33" customHeight="1" x14ac:dyDescent="0.35">
      <c r="A190" s="6" t="s">
        <v>349</v>
      </c>
      <c r="B190" s="7" t="s">
        <v>350</v>
      </c>
      <c r="C190" s="7" t="s">
        <v>1259</v>
      </c>
      <c r="D190" s="7" t="s">
        <v>1260</v>
      </c>
      <c r="E190" s="5" t="str">
        <f>HYPERLINK("https://www.pchmayoreo.com/index.php/catalogsearch/result/?q=SG-367173-12", "Ir a sitio web")</f>
        <v>Ir a sitio web</v>
      </c>
    </row>
    <row r="191" spans="1:5" s="3" customFormat="1" ht="33" customHeight="1" x14ac:dyDescent="0.35">
      <c r="A191" s="6" t="s">
        <v>351</v>
      </c>
      <c r="B191" s="7" t="s">
        <v>352</v>
      </c>
      <c r="C191" s="7" t="s">
        <v>1259</v>
      </c>
      <c r="D191" s="7" t="s">
        <v>1260</v>
      </c>
      <c r="E191" s="5" t="str">
        <f>HYPERLINK("https://www.pchmayoreo.com/index.php/catalogsearch/result/?q=SG-387173-1", "Ir a sitio web")</f>
        <v>Ir a sitio web</v>
      </c>
    </row>
    <row r="192" spans="1:5" s="3" customFormat="1" ht="33" customHeight="1" x14ac:dyDescent="0.35">
      <c r="A192" s="6" t="s">
        <v>353</v>
      </c>
      <c r="B192" s="7" t="s">
        <v>354</v>
      </c>
      <c r="C192" s="7" t="s">
        <v>1259</v>
      </c>
      <c r="D192" s="7" t="s">
        <v>1260</v>
      </c>
      <c r="E192" s="5" t="str">
        <f>HYPERLINK("https://www.pchmayoreo.com/index.php/catalogsearch/result/?q=SG-367173-10", "Ir a sitio web")</f>
        <v>Ir a sitio web</v>
      </c>
    </row>
    <row r="193" spans="1:5" s="3" customFormat="1" ht="33" customHeight="1" x14ac:dyDescent="0.35">
      <c r="A193" s="6" t="s">
        <v>355</v>
      </c>
      <c r="B193" s="7" t="s">
        <v>356</v>
      </c>
      <c r="C193" s="7" t="s">
        <v>1259</v>
      </c>
      <c r="D193" s="7" t="s">
        <v>1260</v>
      </c>
      <c r="E193" s="5" t="str">
        <f>HYPERLINK("https://www.pchmayoreo.com/index.php/catalogsearch/result/?q=SG-367173-5", "Ir a sitio web")</f>
        <v>Ir a sitio web</v>
      </c>
    </row>
    <row r="194" spans="1:5" s="3" customFormat="1" ht="33" customHeight="1" x14ac:dyDescent="0.35">
      <c r="A194" s="6" t="s">
        <v>357</v>
      </c>
      <c r="B194" s="7" t="s">
        <v>358</v>
      </c>
      <c r="C194" s="7" t="s">
        <v>1256</v>
      </c>
      <c r="D194" s="7" t="s">
        <v>1261</v>
      </c>
      <c r="E194" s="5" t="str">
        <f>HYPERLINK("https://www.pchmayoreo.com/index.php/catalogsearch/result/?q=EN-416915-1", "Ir a sitio web")</f>
        <v>Ir a sitio web</v>
      </c>
    </row>
    <row r="195" spans="1:5" s="3" customFormat="1" ht="33" customHeight="1" x14ac:dyDescent="0.35">
      <c r="A195" s="6" t="s">
        <v>359</v>
      </c>
      <c r="B195" s="7" t="s">
        <v>360</v>
      </c>
      <c r="C195" s="7" t="s">
        <v>1256</v>
      </c>
      <c r="D195" s="7" t="s">
        <v>1261</v>
      </c>
      <c r="E195" s="5" t="str">
        <f>HYPERLINK("https://www.pchmayoreo.com/index.php/catalogsearch/result/?q=EN-416992-8", "Ir a sitio web")</f>
        <v>Ir a sitio web</v>
      </c>
    </row>
    <row r="196" spans="1:5" s="3" customFormat="1" ht="33" customHeight="1" x14ac:dyDescent="0.35">
      <c r="A196" s="6" t="s">
        <v>361</v>
      </c>
      <c r="B196" s="7" t="s">
        <v>362</v>
      </c>
      <c r="C196" s="7" t="s">
        <v>1256</v>
      </c>
      <c r="D196" s="7" t="s">
        <v>1261</v>
      </c>
      <c r="E196" s="5" t="str">
        <f>HYPERLINK("https://www.pchmayoreo.com/index.php/catalogsearch/result/?q=EN-416992-4", "Ir a sitio web")</f>
        <v>Ir a sitio web</v>
      </c>
    </row>
    <row r="197" spans="1:5" s="3" customFormat="1" ht="33" customHeight="1" x14ac:dyDescent="0.35">
      <c r="A197" s="6" t="s">
        <v>363</v>
      </c>
      <c r="B197" s="7" t="s">
        <v>364</v>
      </c>
      <c r="C197" s="7" t="s">
        <v>1256</v>
      </c>
      <c r="D197" s="7" t="s">
        <v>1261</v>
      </c>
      <c r="E197" s="5" t="str">
        <f>HYPERLINK("https://www.pchmayoreo.com/index.php/catalogsearch/result/?q=EN-416910-2", "Ir a sitio web")</f>
        <v>Ir a sitio web</v>
      </c>
    </row>
    <row r="198" spans="1:5" s="3" customFormat="1" ht="33" customHeight="1" x14ac:dyDescent="0.35">
      <c r="A198" s="6" t="s">
        <v>365</v>
      </c>
      <c r="B198" s="7" t="s">
        <v>366</v>
      </c>
      <c r="C198" s="7" t="s">
        <v>1256</v>
      </c>
      <c r="D198" s="7" t="s">
        <v>1261</v>
      </c>
      <c r="E198" s="5" t="str">
        <f>HYPERLINK("https://www.pchmayoreo.com/index.php/catalogsearch/result/?q=EN-416914-1", "Ir a sitio web")</f>
        <v>Ir a sitio web</v>
      </c>
    </row>
    <row r="199" spans="1:5" s="3" customFormat="1" ht="33" customHeight="1" x14ac:dyDescent="0.35">
      <c r="A199" s="6" t="s">
        <v>367</v>
      </c>
      <c r="B199" s="7" t="s">
        <v>368</v>
      </c>
      <c r="C199" s="7" t="s">
        <v>1254</v>
      </c>
      <c r="D199" s="7" t="s">
        <v>1248</v>
      </c>
      <c r="E199" s="3" t="str">
        <f>HYPERLINK("https://www.pchmayoreo.com/index.php/catalogsearch/result/?q=CB-2331524-1", "Ir a sitio web")</f>
        <v>Ir a sitio web</v>
      </c>
    </row>
    <row r="200" spans="1:5" s="3" customFormat="1" ht="33" customHeight="1" x14ac:dyDescent="0.35">
      <c r="A200" s="6" t="s">
        <v>369</v>
      </c>
      <c r="B200" s="7" t="s">
        <v>370</v>
      </c>
      <c r="C200" s="7" t="s">
        <v>1254</v>
      </c>
      <c r="D200" s="7" t="s">
        <v>1262</v>
      </c>
      <c r="E200" s="5" t="str">
        <f>HYPERLINK("https://www.pchmayoreo.com/index.php/catalogsearch/result/?q=CB-394889-6", "Ir a sitio web")</f>
        <v>Ir a sitio web</v>
      </c>
    </row>
    <row r="201" spans="1:5" s="3" customFormat="1" ht="33" customHeight="1" x14ac:dyDescent="0.35">
      <c r="A201" s="6" t="s">
        <v>371</v>
      </c>
      <c r="B201" s="7" t="s">
        <v>372</v>
      </c>
      <c r="C201" s="7" t="s">
        <v>1254</v>
      </c>
      <c r="D201" s="7" t="s">
        <v>1262</v>
      </c>
      <c r="E201" s="5" t="str">
        <f>HYPERLINK("https://www.pchmayoreo.com/index.php/catalogsearch/result/?q=CB-394896-1", "Ir a sitio web")</f>
        <v>Ir a sitio web</v>
      </c>
    </row>
    <row r="202" spans="1:5" s="3" customFormat="1" ht="33" customHeight="1" x14ac:dyDescent="0.35">
      <c r="A202" s="6" t="s">
        <v>373</v>
      </c>
      <c r="B202" s="7" t="s">
        <v>374</v>
      </c>
      <c r="C202" s="7" t="s">
        <v>1252</v>
      </c>
      <c r="D202" s="7" t="s">
        <v>1262</v>
      </c>
      <c r="E202" s="5" t="str">
        <f>HYPERLINK("https://www.pchmayoreo.com/index.php/catalogsearch/result/?q=RE-394872-1", "Ir a sitio web")</f>
        <v>Ir a sitio web</v>
      </c>
    </row>
    <row r="203" spans="1:5" s="3" customFormat="1" ht="33" customHeight="1" x14ac:dyDescent="0.35">
      <c r="A203" s="6" t="s">
        <v>375</v>
      </c>
      <c r="B203" s="7" t="s">
        <v>376</v>
      </c>
      <c r="C203" s="7" t="s">
        <v>1252</v>
      </c>
      <c r="D203" s="7" t="s">
        <v>1262</v>
      </c>
      <c r="E203" s="5" t="str">
        <f>HYPERLINK("https://www.pchmayoreo.com/index.php/catalogsearch/result/?q=RE-394810-1", "Ir a sitio web")</f>
        <v>Ir a sitio web</v>
      </c>
    </row>
    <row r="204" spans="1:5" s="3" customFormat="1" ht="33" customHeight="1" x14ac:dyDescent="0.35">
      <c r="A204" s="6" t="s">
        <v>377</v>
      </c>
      <c r="B204" s="7" t="s">
        <v>378</v>
      </c>
      <c r="C204" s="7" t="s">
        <v>1254</v>
      </c>
      <c r="D204" s="7" t="s">
        <v>1262</v>
      </c>
      <c r="E204" s="5" t="str">
        <f>HYPERLINK("https://www.pchmayoreo.com/index.php/catalogsearch/result/?q=CB-584812-1", "Ir a sitio web")</f>
        <v>Ir a sitio web</v>
      </c>
    </row>
    <row r="205" spans="1:5" s="3" customFormat="1" ht="33" customHeight="1" x14ac:dyDescent="0.35">
      <c r="A205" s="6" t="s">
        <v>379</v>
      </c>
      <c r="B205" s="7" t="s">
        <v>380</v>
      </c>
      <c r="C205" s="7" t="s">
        <v>1254</v>
      </c>
      <c r="D205" s="7" t="s">
        <v>1262</v>
      </c>
      <c r="E205" s="5" t="str">
        <f>HYPERLINK("https://www.pchmayoreo.com/index.php/catalogsearch/result/?q=CB-392486-68", "Ir a sitio web")</f>
        <v>Ir a sitio web</v>
      </c>
    </row>
    <row r="206" spans="1:5" s="3" customFormat="1" ht="33" customHeight="1" x14ac:dyDescent="0.35">
      <c r="A206" s="6" t="s">
        <v>381</v>
      </c>
      <c r="B206" s="7" t="s">
        <v>382</v>
      </c>
      <c r="C206" s="7" t="s">
        <v>1254</v>
      </c>
      <c r="D206" s="7" t="s">
        <v>1262</v>
      </c>
      <c r="E206" s="5" t="str">
        <f>HYPERLINK("https://www.pchmayoreo.com/index.php/catalogsearch/result/?q=CB-364875-1", "Ir a sitio web")</f>
        <v>Ir a sitio web</v>
      </c>
    </row>
    <row r="207" spans="1:5" s="3" customFormat="1" ht="33" customHeight="1" x14ac:dyDescent="0.35">
      <c r="A207" s="6" t="s">
        <v>383</v>
      </c>
      <c r="B207" s="7" t="s">
        <v>384</v>
      </c>
      <c r="C207" s="7" t="s">
        <v>1254</v>
      </c>
      <c r="D207" s="7" t="s">
        <v>1262</v>
      </c>
      <c r="E207" s="5" t="str">
        <f>HYPERLINK("https://www.pchmayoreo.com/index.php/catalogsearch/result/?q=CB-392486-62", "Ir a sitio web")</f>
        <v>Ir a sitio web</v>
      </c>
    </row>
    <row r="208" spans="1:5" s="3" customFormat="1" ht="33" customHeight="1" x14ac:dyDescent="0.35">
      <c r="A208" s="6" t="s">
        <v>385</v>
      </c>
      <c r="B208" s="7" t="s">
        <v>386</v>
      </c>
      <c r="C208" s="7" t="s">
        <v>1254</v>
      </c>
      <c r="D208" s="7" t="s">
        <v>1262</v>
      </c>
      <c r="E208" s="5" t="str">
        <f>HYPERLINK("https://www.pchmayoreo.com/index.php/catalogsearch/result/?q=CB-394810-11", "Ir a sitio web")</f>
        <v>Ir a sitio web</v>
      </c>
    </row>
    <row r="209" spans="1:5" s="3" customFormat="1" ht="33" customHeight="1" x14ac:dyDescent="0.35">
      <c r="A209" s="6" t="s">
        <v>387</v>
      </c>
      <c r="B209" s="7" t="s">
        <v>388</v>
      </c>
      <c r="C209" s="7" t="s">
        <v>1256</v>
      </c>
      <c r="D209" s="7" t="s">
        <v>1263</v>
      </c>
      <c r="E209" s="5" t="str">
        <f>HYPERLINK("https://www.pchmayoreo.com/index.php/catalogsearch/result/?q=EN-496214-1", "Ir a sitio web")</f>
        <v>Ir a sitio web</v>
      </c>
    </row>
    <row r="210" spans="1:5" s="3" customFormat="1" ht="33" customHeight="1" x14ac:dyDescent="0.35">
      <c r="A210" s="6" t="s">
        <v>389</v>
      </c>
      <c r="B210" s="7" t="s">
        <v>390</v>
      </c>
      <c r="C210" s="7" t="s">
        <v>1259</v>
      </c>
      <c r="D210" s="7" t="s">
        <v>1264</v>
      </c>
      <c r="E210" s="3" t="str">
        <f>HYPERLINK("https://www.pchmayoreo.com/index.php/catalogsearch/result/?q=SG-406278-1", "Ir a sitio web")</f>
        <v>Ir a sitio web</v>
      </c>
    </row>
    <row r="211" spans="1:5" s="3" customFormat="1" ht="33" customHeight="1" x14ac:dyDescent="0.35">
      <c r="A211" s="6" t="s">
        <v>391</v>
      </c>
      <c r="B211" s="7" t="s">
        <v>392</v>
      </c>
      <c r="C211" s="7" t="s">
        <v>1254</v>
      </c>
      <c r="D211" s="7" t="s">
        <v>1265</v>
      </c>
      <c r="E211" s="3" t="str">
        <f>HYPERLINK("https://www.pchmayoreo.com/index.php/catalogsearch/result/?q=CB-396291-1", "Ir a sitio web")</f>
        <v>Ir a sitio web</v>
      </c>
    </row>
    <row r="212" spans="1:5" s="3" customFormat="1" ht="33" customHeight="1" x14ac:dyDescent="0.35">
      <c r="A212" s="6" t="s">
        <v>393</v>
      </c>
      <c r="B212" s="7" t="s">
        <v>394</v>
      </c>
      <c r="C212" s="7" t="s">
        <v>1254</v>
      </c>
      <c r="D212" s="7" t="s">
        <v>1265</v>
      </c>
      <c r="E212" s="3" t="str">
        <f>HYPERLINK("https://www.pchmayoreo.com/index.php/catalogsearch/result/?q=CB-366289-2", "Ir a sitio web")</f>
        <v>Ir a sitio web</v>
      </c>
    </row>
    <row r="213" spans="1:5" s="3" customFormat="1" ht="33" customHeight="1" x14ac:dyDescent="0.35">
      <c r="A213" s="6" t="s">
        <v>395</v>
      </c>
      <c r="B213" s="7" t="s">
        <v>396</v>
      </c>
      <c r="C213" s="7" t="s">
        <v>1254</v>
      </c>
      <c r="D213" s="7" t="s">
        <v>1265</v>
      </c>
      <c r="E213" s="3" t="str">
        <f>HYPERLINK("https://www.pchmayoreo.com/index.php/catalogsearch/result/?q=CB-396289-9", "Ir a sitio web")</f>
        <v>Ir a sitio web</v>
      </c>
    </row>
    <row r="214" spans="1:5" s="3" customFormat="1" ht="33" customHeight="1" x14ac:dyDescent="0.35">
      <c r="A214" s="6" t="s">
        <v>397</v>
      </c>
      <c r="B214" s="7" t="s">
        <v>398</v>
      </c>
      <c r="C214" s="7" t="s">
        <v>1254</v>
      </c>
      <c r="D214" s="7" t="s">
        <v>1265</v>
      </c>
      <c r="E214" s="3" t="str">
        <f>HYPERLINK("https://www.pchmayoreo.com/index.php/catalogsearch/result/?q=CB-366210-1", "Ir a sitio web")</f>
        <v>Ir a sitio web</v>
      </c>
    </row>
    <row r="215" spans="1:5" s="3" customFormat="1" ht="33" customHeight="1" x14ac:dyDescent="0.35">
      <c r="A215" s="6" t="s">
        <v>399</v>
      </c>
      <c r="B215" s="7" t="s">
        <v>400</v>
      </c>
      <c r="C215" s="7" t="s">
        <v>1254</v>
      </c>
      <c r="D215" s="7" t="s">
        <v>1265</v>
      </c>
      <c r="E215" s="3" t="str">
        <f>HYPERLINK("https://www.pchmayoreo.com/index.php/catalogsearch/result/?q=RE-392623-27", "Ir a sitio web")</f>
        <v>Ir a sitio web</v>
      </c>
    </row>
    <row r="216" spans="1:5" s="3" customFormat="1" ht="33" customHeight="1" x14ac:dyDescent="0.35">
      <c r="A216" s="6" t="s">
        <v>401</v>
      </c>
      <c r="B216" s="7" t="s">
        <v>402</v>
      </c>
      <c r="C216" s="7" t="s">
        <v>1254</v>
      </c>
      <c r="D216" s="7" t="s">
        <v>1265</v>
      </c>
      <c r="E216" s="3" t="str">
        <f>HYPERLINK("https://www.pchmayoreo.com/index.php/catalogsearch/result/?q=RE-396289-6", "Ir a sitio web")</f>
        <v>Ir a sitio web</v>
      </c>
    </row>
    <row r="217" spans="1:5" s="3" customFormat="1" ht="33" customHeight="1" x14ac:dyDescent="0.35">
      <c r="A217" s="6" t="s">
        <v>403</v>
      </c>
      <c r="B217" s="7" t="s">
        <v>404</v>
      </c>
      <c r="C217" s="7" t="s">
        <v>1254</v>
      </c>
      <c r="D217" s="7" t="s">
        <v>1265</v>
      </c>
      <c r="E217" s="3" t="str">
        <f>HYPERLINK("https://www.pchmayoreo.com/index.php/catalogsearch/result/?q=RE-392623-14", "Ir a sitio web")</f>
        <v>Ir a sitio web</v>
      </c>
    </row>
    <row r="218" spans="1:5" s="3" customFormat="1" ht="33" customHeight="1" x14ac:dyDescent="0.35">
      <c r="A218" s="6" t="s">
        <v>405</v>
      </c>
      <c r="B218" s="7" t="s">
        <v>406</v>
      </c>
      <c r="C218" s="7" t="s">
        <v>1254</v>
      </c>
      <c r="D218" s="7" t="s">
        <v>1265</v>
      </c>
      <c r="E218" s="3" t="str">
        <f>HYPERLINK("https://www.pchmayoreo.com/index.php/catalogsearch/result/?q=RE-396210-3", "Ir a sitio web")</f>
        <v>Ir a sitio web</v>
      </c>
    </row>
    <row r="219" spans="1:5" s="3" customFormat="1" ht="33" customHeight="1" x14ac:dyDescent="0.35">
      <c r="A219" s="6" t="s">
        <v>407</v>
      </c>
      <c r="B219" s="7" t="s">
        <v>408</v>
      </c>
      <c r="C219" s="7" t="s">
        <v>1254</v>
      </c>
      <c r="D219" s="7" t="s">
        <v>1265</v>
      </c>
      <c r="E219" s="3" t="str">
        <f>HYPERLINK("https://www.pchmayoreo.com/index.php/catalogsearch/result/?q=CB-392623-1", "Ir a sitio web")</f>
        <v>Ir a sitio web</v>
      </c>
    </row>
    <row r="220" spans="1:5" s="3" customFormat="1" ht="33" customHeight="1" x14ac:dyDescent="0.35">
      <c r="A220" s="6" t="s">
        <v>409</v>
      </c>
      <c r="B220" s="7" t="s">
        <v>410</v>
      </c>
      <c r="C220" s="7" t="s">
        <v>1254</v>
      </c>
      <c r="D220" s="7" t="s">
        <v>1265</v>
      </c>
      <c r="E220" s="3" t="str">
        <f>HYPERLINK("https://www.pchmayoreo.com/index.php/catalogsearch/result/?q=RE-366624-5", "Ir a sitio web")</f>
        <v>Ir a sitio web</v>
      </c>
    </row>
    <row r="221" spans="1:5" s="3" customFormat="1" ht="33" customHeight="1" x14ac:dyDescent="0.35">
      <c r="A221" s="6" t="s">
        <v>411</v>
      </c>
      <c r="B221" s="7" t="s">
        <v>412</v>
      </c>
      <c r="C221" s="7" t="s">
        <v>1254</v>
      </c>
      <c r="D221" s="7" t="s">
        <v>1265</v>
      </c>
      <c r="E221" s="3" t="str">
        <f>HYPERLINK("https://www.pchmayoreo.com/index.php/catalogsearch/result/?q=RE-366624-3", "Ir a sitio web")</f>
        <v>Ir a sitio web</v>
      </c>
    </row>
    <row r="222" spans="1:5" s="3" customFormat="1" ht="33" customHeight="1" x14ac:dyDescent="0.35">
      <c r="A222" s="6" t="s">
        <v>413</v>
      </c>
      <c r="B222" s="7" t="s">
        <v>414</v>
      </c>
      <c r="C222" s="7" t="s">
        <v>1254</v>
      </c>
      <c r="D222" s="7" t="s">
        <v>1265</v>
      </c>
      <c r="E222" s="3" t="str">
        <f>HYPERLINK("https://www.pchmayoreo.com/index.php/catalogsearch/result/?q=RE-392623-8", "Ir a sitio web")</f>
        <v>Ir a sitio web</v>
      </c>
    </row>
    <row r="223" spans="1:5" s="3" customFormat="1" ht="33" customHeight="1" x14ac:dyDescent="0.35">
      <c r="A223" s="6" t="s">
        <v>415</v>
      </c>
      <c r="B223" s="7" t="s">
        <v>416</v>
      </c>
      <c r="C223" s="7" t="s">
        <v>1254</v>
      </c>
      <c r="D223" s="7" t="s">
        <v>1265</v>
      </c>
      <c r="E223" s="3" t="str">
        <f>HYPERLINK("https://www.pchmayoreo.com/index.php/catalogsearch/result/?q=AC-396289-1", "Ir a sitio web")</f>
        <v>Ir a sitio web</v>
      </c>
    </row>
    <row r="224" spans="1:5" s="3" customFormat="1" ht="33" customHeight="1" x14ac:dyDescent="0.35">
      <c r="A224" s="6" t="s">
        <v>417</v>
      </c>
      <c r="B224" s="7" t="s">
        <v>418</v>
      </c>
      <c r="C224" s="7" t="s">
        <v>1254</v>
      </c>
      <c r="D224" s="7" t="s">
        <v>1265</v>
      </c>
      <c r="E224" s="3" t="str">
        <f>HYPERLINK("https://www.pchmayoreo.com/index.php/catalogsearch/result/?q=RE-366624-4", "Ir a sitio web")</f>
        <v>Ir a sitio web</v>
      </c>
    </row>
    <row r="225" spans="1:5" s="3" customFormat="1" ht="33" customHeight="1" x14ac:dyDescent="0.35">
      <c r="A225" s="6" t="s">
        <v>419</v>
      </c>
      <c r="B225" s="7" t="s">
        <v>420</v>
      </c>
      <c r="C225" s="7" t="s">
        <v>1254</v>
      </c>
      <c r="D225" s="7" t="s">
        <v>1265</v>
      </c>
      <c r="E225" s="3" t="str">
        <f>HYPERLINK("https://www.pchmayoreo.com/index.php/catalogsearch/result/?q=RE-366623-5", "Ir a sitio web")</f>
        <v>Ir a sitio web</v>
      </c>
    </row>
    <row r="226" spans="1:5" s="3" customFormat="1" ht="33" customHeight="1" x14ac:dyDescent="0.35">
      <c r="A226" s="6" t="s">
        <v>421</v>
      </c>
      <c r="B226" s="7" t="s">
        <v>422</v>
      </c>
      <c r="C226" s="7" t="s">
        <v>1254</v>
      </c>
      <c r="D226" s="7" t="s">
        <v>1265</v>
      </c>
      <c r="E226" s="3" t="str">
        <f>HYPERLINK("https://www.pchmayoreo.com/index.php/catalogsearch/result/?q=CB-396289-8", "Ir a sitio web")</f>
        <v>Ir a sitio web</v>
      </c>
    </row>
    <row r="227" spans="1:5" s="3" customFormat="1" ht="33" customHeight="1" x14ac:dyDescent="0.35">
      <c r="A227" s="6" t="s">
        <v>423</v>
      </c>
      <c r="B227" s="7" t="s">
        <v>424</v>
      </c>
      <c r="C227" s="7" t="s">
        <v>1254</v>
      </c>
      <c r="D227" s="7" t="s">
        <v>1265</v>
      </c>
      <c r="E227" s="3" t="str">
        <f>HYPERLINK("https://www.pchmayoreo.com/index.php/catalogsearch/result/?q=RE-366624-10", "Ir a sitio web")</f>
        <v>Ir a sitio web</v>
      </c>
    </row>
    <row r="228" spans="1:5" s="3" customFormat="1" ht="33" customHeight="1" x14ac:dyDescent="0.35">
      <c r="A228" s="6" t="s">
        <v>425</v>
      </c>
      <c r="B228" s="7" t="s">
        <v>426</v>
      </c>
      <c r="C228" s="7" t="s">
        <v>1254</v>
      </c>
      <c r="D228" s="7" t="s">
        <v>1265</v>
      </c>
      <c r="E228" s="3" t="str">
        <f>HYPERLINK("https://www.pchmayoreo.com/index.php/catalogsearch/result/?q=CB-366289-5", "Ir a sitio web")</f>
        <v>Ir a sitio web</v>
      </c>
    </row>
    <row r="229" spans="1:5" s="3" customFormat="1" ht="33" customHeight="1" x14ac:dyDescent="0.35">
      <c r="A229" s="6" t="s">
        <v>427</v>
      </c>
      <c r="B229" s="7" t="s">
        <v>428</v>
      </c>
      <c r="C229" s="7" t="s">
        <v>1254</v>
      </c>
      <c r="D229" s="7" t="s">
        <v>1265</v>
      </c>
      <c r="E229" s="3" t="str">
        <f>HYPERLINK("https://www.pchmayoreo.com/index.php/catalogsearch/result/?q=RE-366624-11", "Ir a sitio web")</f>
        <v>Ir a sitio web</v>
      </c>
    </row>
    <row r="230" spans="1:5" s="3" customFormat="1" ht="33" customHeight="1" x14ac:dyDescent="0.35">
      <c r="A230" s="6" t="s">
        <v>429</v>
      </c>
      <c r="B230" s="7" t="s">
        <v>430</v>
      </c>
      <c r="C230" s="7" t="s">
        <v>1254</v>
      </c>
      <c r="D230" s="7" t="s">
        <v>1265</v>
      </c>
      <c r="E230" s="3" t="str">
        <f>HYPERLINK("https://www.pchmayoreo.com/index.php/catalogsearch/result/?q=CB-392623-2", "Ir a sitio web")</f>
        <v>Ir a sitio web</v>
      </c>
    </row>
    <row r="231" spans="1:5" s="3" customFormat="1" ht="33" customHeight="1" x14ac:dyDescent="0.35">
      <c r="A231" s="6" t="s">
        <v>431</v>
      </c>
      <c r="B231" s="7" t="s">
        <v>432</v>
      </c>
      <c r="C231" s="7" t="s">
        <v>1254</v>
      </c>
      <c r="D231" s="7" t="s">
        <v>1265</v>
      </c>
      <c r="E231" s="3" t="str">
        <f>HYPERLINK("https://www.pchmayoreo.com/index.php/catalogsearch/result/?q=RE-396289-2", "Ir a sitio web")</f>
        <v>Ir a sitio web</v>
      </c>
    </row>
    <row r="232" spans="1:5" s="3" customFormat="1" ht="33" customHeight="1" x14ac:dyDescent="0.35">
      <c r="A232" s="6" t="s">
        <v>433</v>
      </c>
      <c r="B232" s="7" t="s">
        <v>434</v>
      </c>
      <c r="C232" s="7" t="s">
        <v>1254</v>
      </c>
      <c r="D232" s="7" t="s">
        <v>1265</v>
      </c>
      <c r="E232" s="3" t="str">
        <f>HYPERLINK("https://www.pchmayoreo.com/index.php/catalogsearch/result/?q=RE-366624-6", "Ir a sitio web")</f>
        <v>Ir a sitio web</v>
      </c>
    </row>
    <row r="233" spans="1:5" s="3" customFormat="1" ht="33" customHeight="1" x14ac:dyDescent="0.35">
      <c r="A233" s="6" t="s">
        <v>435</v>
      </c>
      <c r="B233" s="7" t="s">
        <v>436</v>
      </c>
      <c r="C233" s="7" t="s">
        <v>1254</v>
      </c>
      <c r="D233" s="7" t="s">
        <v>1265</v>
      </c>
      <c r="E233" s="3" t="str">
        <f>HYPERLINK("https://www.pchmayoreo.com/index.php/catalogsearch/result/?q=RE-366623-2", "Ir a sitio web")</f>
        <v>Ir a sitio web</v>
      </c>
    </row>
    <row r="234" spans="1:5" s="3" customFormat="1" ht="33" customHeight="1" x14ac:dyDescent="0.35">
      <c r="A234" s="6" t="s">
        <v>437</v>
      </c>
      <c r="B234" s="7" t="s">
        <v>438</v>
      </c>
      <c r="C234" s="7" t="s">
        <v>1254</v>
      </c>
      <c r="D234" s="7" t="s">
        <v>1265</v>
      </c>
      <c r="E234" s="3" t="str">
        <f>HYPERLINK("https://www.pchmayoreo.com/index.php/catalogsearch/result/?q=RE-366624-9", "Ir a sitio web")</f>
        <v>Ir a sitio web</v>
      </c>
    </row>
    <row r="235" spans="1:5" s="3" customFormat="1" ht="33" customHeight="1" x14ac:dyDescent="0.35">
      <c r="A235" s="6" t="s">
        <v>439</v>
      </c>
      <c r="B235" s="7" t="s">
        <v>440</v>
      </c>
      <c r="C235" s="7" t="s">
        <v>1254</v>
      </c>
      <c r="D235" s="7" t="s">
        <v>1265</v>
      </c>
      <c r="E235" s="3" t="str">
        <f>HYPERLINK("https://www.pchmayoreo.com/index.php/catalogsearch/result/?q=RE-366624-7", "Ir a sitio web")</f>
        <v>Ir a sitio web</v>
      </c>
    </row>
    <row r="236" spans="1:5" s="3" customFormat="1" ht="33" customHeight="1" x14ac:dyDescent="0.35">
      <c r="A236" s="6" t="s">
        <v>441</v>
      </c>
      <c r="B236" s="7" t="s">
        <v>442</v>
      </c>
      <c r="C236" s="7" t="s">
        <v>1252</v>
      </c>
      <c r="D236" s="7" t="s">
        <v>1266</v>
      </c>
      <c r="E236" s="5" t="str">
        <f>HYPERLINK("https://www.pchmayoreo.com/index.php/catalogsearch/result/?q=RE-354912-3", "Ir a sitio web")</f>
        <v>Ir a sitio web</v>
      </c>
    </row>
    <row r="237" spans="1:5" s="3" customFormat="1" ht="33" customHeight="1" x14ac:dyDescent="0.35">
      <c r="A237" s="6" t="s">
        <v>443</v>
      </c>
      <c r="B237" s="7" t="s">
        <v>444</v>
      </c>
      <c r="C237" s="7" t="s">
        <v>1252</v>
      </c>
      <c r="D237" s="7" t="s">
        <v>1266</v>
      </c>
      <c r="E237" s="5" t="str">
        <f>HYPERLINK("https://www.pchmayoreo.com/index.php/catalogsearch/result/?q=RE-354912-1", "Ir a sitio web")</f>
        <v>Ir a sitio web</v>
      </c>
    </row>
    <row r="238" spans="1:5" s="3" customFormat="1" ht="33" customHeight="1" x14ac:dyDescent="0.35">
      <c r="A238" s="6" t="s">
        <v>445</v>
      </c>
      <c r="B238" s="7" t="s">
        <v>446</v>
      </c>
      <c r="C238" s="7" t="s">
        <v>1252</v>
      </c>
      <c r="D238" s="7" t="s">
        <v>1266</v>
      </c>
      <c r="E238" s="5" t="str">
        <f>HYPERLINK("https://www.pchmayoreo.com/index.php/catalogsearch/result/?q=RE-436499-15", "Ir a sitio web")</f>
        <v>Ir a sitio web</v>
      </c>
    </row>
    <row r="239" spans="1:5" s="3" customFormat="1" ht="33" customHeight="1" x14ac:dyDescent="0.35">
      <c r="A239" s="6" t="s">
        <v>447</v>
      </c>
      <c r="B239" s="7" t="s">
        <v>448</v>
      </c>
      <c r="C239" s="7" t="s">
        <v>1252</v>
      </c>
      <c r="D239" s="7" t="s">
        <v>1266</v>
      </c>
      <c r="E239" s="5" t="str">
        <f>HYPERLINK("https://www.pchmayoreo.com/index.php/catalogsearch/result/?q=RE-436499-14", "Ir a sitio web")</f>
        <v>Ir a sitio web</v>
      </c>
    </row>
    <row r="240" spans="1:5" s="3" customFormat="1" ht="33" customHeight="1" x14ac:dyDescent="0.35">
      <c r="A240" s="6" t="s">
        <v>449</v>
      </c>
      <c r="B240" s="7" t="s">
        <v>450</v>
      </c>
      <c r="C240" s="7" t="s">
        <v>1252</v>
      </c>
      <c r="D240" s="7" t="s">
        <v>1266</v>
      </c>
      <c r="E240" s="5" t="str">
        <f>HYPERLINK("https://www.pchmayoreo.com/index.php/catalogsearch/result/?q=RE-354912-2", "Ir a sitio web")</f>
        <v>Ir a sitio web</v>
      </c>
    </row>
    <row r="241" spans="1:5" s="3" customFormat="1" ht="33" customHeight="1" x14ac:dyDescent="0.35">
      <c r="A241" s="6" t="s">
        <v>451</v>
      </c>
      <c r="B241" s="7" t="s">
        <v>452</v>
      </c>
      <c r="C241" s="7" t="s">
        <v>1252</v>
      </c>
      <c r="D241" s="7" t="s">
        <v>1266</v>
      </c>
      <c r="E241" s="5" t="str">
        <f>HYPERLINK("https://www.pchmayoreo.com/index.php/catalogsearch/result/?q=RE-434910-1", "Ir a sitio web")</f>
        <v>Ir a sitio web</v>
      </c>
    </row>
    <row r="242" spans="1:5" s="3" customFormat="1" ht="33" customHeight="1" x14ac:dyDescent="0.35">
      <c r="A242" s="6" t="s">
        <v>453</v>
      </c>
      <c r="B242" s="7" t="s">
        <v>454</v>
      </c>
      <c r="C242" s="7" t="s">
        <v>1252</v>
      </c>
      <c r="D242" s="7" t="s">
        <v>1266</v>
      </c>
      <c r="E242" s="5" t="str">
        <f>HYPERLINK("https://www.pchmayoreo.com/index.php/catalogsearch/result/?q=RE-436499-13", "Ir a sitio web")</f>
        <v>Ir a sitio web</v>
      </c>
    </row>
    <row r="243" spans="1:5" s="3" customFormat="1" ht="33" customHeight="1" x14ac:dyDescent="0.35">
      <c r="A243" s="6" t="s">
        <v>455</v>
      </c>
      <c r="B243" s="7" t="s">
        <v>456</v>
      </c>
      <c r="C243" s="7" t="s">
        <v>1252</v>
      </c>
      <c r="D243" s="7" t="s">
        <v>1266</v>
      </c>
      <c r="E243" s="5" t="str">
        <f>HYPERLINK("https://www.pchmayoreo.com/index.php/catalogsearch/result/?q=RE-436499-7", "Ir a sitio web")</f>
        <v>Ir a sitio web</v>
      </c>
    </row>
    <row r="244" spans="1:5" s="3" customFormat="1" ht="33" customHeight="1" x14ac:dyDescent="0.35">
      <c r="A244" s="6" t="s">
        <v>457</v>
      </c>
      <c r="B244" s="7" t="s">
        <v>458</v>
      </c>
      <c r="C244" s="7" t="s">
        <v>1252</v>
      </c>
      <c r="D244" s="7" t="s">
        <v>1266</v>
      </c>
      <c r="E244" s="5" t="str">
        <f>HYPERLINK("https://www.pchmayoreo.com/index.php/catalogsearch/result/?q=RE-394913-1", "Ir a sitio web")</f>
        <v>Ir a sitio web</v>
      </c>
    </row>
    <row r="245" spans="1:5" s="3" customFormat="1" ht="33" customHeight="1" x14ac:dyDescent="0.35">
      <c r="A245" s="6" t="s">
        <v>459</v>
      </c>
      <c r="B245" s="7" t="s">
        <v>460</v>
      </c>
      <c r="C245" s="7" t="s">
        <v>1252</v>
      </c>
      <c r="D245" s="7" t="s">
        <v>1266</v>
      </c>
      <c r="E245" s="5" t="str">
        <f>HYPERLINK("https://www.pchmayoreo.com/index.php/catalogsearch/result/?q=RE-434911-3", "Ir a sitio web")</f>
        <v>Ir a sitio web</v>
      </c>
    </row>
    <row r="246" spans="1:5" s="3" customFormat="1" ht="33" customHeight="1" x14ac:dyDescent="0.35">
      <c r="A246" s="6" t="s">
        <v>461</v>
      </c>
      <c r="B246" s="7" t="s">
        <v>462</v>
      </c>
      <c r="C246" s="7" t="s">
        <v>1259</v>
      </c>
      <c r="D246" s="7" t="s">
        <v>1267</v>
      </c>
      <c r="E246" s="3" t="str">
        <f>HYPERLINK("https://www.pchmayoreo.com/index.php/catalogsearch/result/?q=SG-366713-1", "Ir a sitio web")</f>
        <v>Ir a sitio web</v>
      </c>
    </row>
    <row r="247" spans="1:5" s="3" customFormat="1" ht="33" customHeight="1" x14ac:dyDescent="0.35">
      <c r="A247" s="6" t="s">
        <v>463</v>
      </c>
      <c r="B247" s="7" t="s">
        <v>464</v>
      </c>
      <c r="C247" s="7" t="s">
        <v>1259</v>
      </c>
      <c r="D247" s="7" t="s">
        <v>1267</v>
      </c>
      <c r="E247" s="3" t="str">
        <f>HYPERLINK("https://www.pchmayoreo.com/index.php/catalogsearch/result/?q=SG-366712-1", "Ir a sitio web")</f>
        <v>Ir a sitio web</v>
      </c>
    </row>
    <row r="248" spans="1:5" s="3" customFormat="1" ht="33" customHeight="1" x14ac:dyDescent="0.35">
      <c r="A248" s="6" t="s">
        <v>465</v>
      </c>
      <c r="B248" s="7" t="s">
        <v>466</v>
      </c>
      <c r="C248" s="7" t="s">
        <v>1259</v>
      </c>
      <c r="D248" s="7" t="s">
        <v>1267</v>
      </c>
      <c r="E248" s="3" t="str">
        <f>HYPERLINK("https://www.pchmayoreo.com/index.php/catalogsearch/result/?q=AC-486796-1", "Ir a sitio web")</f>
        <v>Ir a sitio web</v>
      </c>
    </row>
    <row r="249" spans="1:5" s="3" customFormat="1" ht="33" customHeight="1" x14ac:dyDescent="0.35">
      <c r="A249" s="6" t="s">
        <v>467</v>
      </c>
      <c r="B249" s="7" t="s">
        <v>468</v>
      </c>
      <c r="C249" s="7" t="s">
        <v>1259</v>
      </c>
      <c r="D249" s="7" t="s">
        <v>1267</v>
      </c>
      <c r="E249" s="3" t="str">
        <f>HYPERLINK("https://www.pchmayoreo.com/index.php/catalogsearch/result/?q=SG-366713-4", "Ir a sitio web")</f>
        <v>Ir a sitio web</v>
      </c>
    </row>
    <row r="250" spans="1:5" s="3" customFormat="1" ht="33" customHeight="1" x14ac:dyDescent="0.35">
      <c r="A250" s="6" t="s">
        <v>469</v>
      </c>
      <c r="B250" s="7" t="s">
        <v>470</v>
      </c>
      <c r="C250" s="7" t="s">
        <v>1215</v>
      </c>
      <c r="D250" s="7" t="s">
        <v>1268</v>
      </c>
      <c r="E250" s="5" t="str">
        <f>HYPERLINK("https://www.pchmayoreo.com/index.php/catalogsearch/result/?q=AC-352678-3", "Ir a sitio web")</f>
        <v>Ir a sitio web</v>
      </c>
    </row>
    <row r="251" spans="1:5" s="3" customFormat="1" ht="33" customHeight="1" x14ac:dyDescent="0.35">
      <c r="A251" s="6" t="s">
        <v>471</v>
      </c>
      <c r="B251" s="7" t="s">
        <v>472</v>
      </c>
      <c r="C251" s="7" t="s">
        <v>1215</v>
      </c>
      <c r="D251" s="7" t="s">
        <v>1268</v>
      </c>
      <c r="E251" s="5" t="str">
        <f>HYPERLINK("https://www.pchmayoreo.com/index.php/catalogsearch/result/?q=AC-362614-2", "Ir a sitio web")</f>
        <v>Ir a sitio web</v>
      </c>
    </row>
    <row r="252" spans="1:5" s="3" customFormat="1" ht="33" customHeight="1" x14ac:dyDescent="0.35">
      <c r="A252" s="6" t="s">
        <v>473</v>
      </c>
      <c r="B252" s="7" t="s">
        <v>474</v>
      </c>
      <c r="C252" s="7" t="s">
        <v>1215</v>
      </c>
      <c r="D252" s="7" t="s">
        <v>1268</v>
      </c>
      <c r="E252" s="5" t="str">
        <f>HYPERLINK("https://www.pchmayoreo.com/index.php/catalogsearch/result/?q=AC-402674-2", "Ir a sitio web")</f>
        <v>Ir a sitio web</v>
      </c>
    </row>
    <row r="253" spans="1:5" s="3" customFormat="1" ht="33" customHeight="1" x14ac:dyDescent="0.35">
      <c r="A253" s="6" t="s">
        <v>475</v>
      </c>
      <c r="B253" s="7" t="s">
        <v>476</v>
      </c>
      <c r="C253" s="7" t="s">
        <v>1215</v>
      </c>
      <c r="D253" s="7" t="s">
        <v>1268</v>
      </c>
      <c r="E253" s="5" t="str">
        <f>HYPERLINK("https://www.pchmayoreo.com/index.php/catalogsearch/result/?q=AC-365097-2", "Ir a sitio web")</f>
        <v>Ir a sitio web</v>
      </c>
    </row>
    <row r="254" spans="1:5" s="3" customFormat="1" ht="33" customHeight="1" x14ac:dyDescent="0.35">
      <c r="A254" s="6" t="s">
        <v>477</v>
      </c>
      <c r="B254" s="7" t="s">
        <v>478</v>
      </c>
      <c r="C254" s="7" t="s">
        <v>1215</v>
      </c>
      <c r="D254" s="7" t="s">
        <v>1268</v>
      </c>
      <c r="E254" s="5" t="str">
        <f>HYPERLINK("https://www.pchmayoreo.com/index.php/catalogsearch/result/?q=AC-362614-3", "Ir a sitio web")</f>
        <v>Ir a sitio web</v>
      </c>
    </row>
    <row r="255" spans="1:5" s="3" customFormat="1" ht="33" customHeight="1" x14ac:dyDescent="0.35">
      <c r="A255" s="6" t="s">
        <v>479</v>
      </c>
      <c r="B255" s="7" t="s">
        <v>480</v>
      </c>
      <c r="C255" s="7" t="s">
        <v>1215</v>
      </c>
      <c r="D255" s="7" t="s">
        <v>1268</v>
      </c>
      <c r="E255" s="5" t="str">
        <f>HYPERLINK("https://www.pchmayoreo.com/index.php/catalogsearch/result/?q=AC-355078-3", "Ir a sitio web")</f>
        <v>Ir a sitio web</v>
      </c>
    </row>
    <row r="256" spans="1:5" s="3" customFormat="1" ht="33" customHeight="1" x14ac:dyDescent="0.35">
      <c r="A256" s="6" t="s">
        <v>481</v>
      </c>
      <c r="B256" s="7" t="s">
        <v>482</v>
      </c>
      <c r="C256" s="7" t="s">
        <v>1215</v>
      </c>
      <c r="D256" s="7" t="s">
        <v>1268</v>
      </c>
      <c r="E256" s="5" t="str">
        <f>HYPERLINK("https://www.pchmayoreo.com/index.php/catalogsearch/result/?q=AC-362683-35", "Ir a sitio web")</f>
        <v>Ir a sitio web</v>
      </c>
    </row>
    <row r="257" spans="1:5" s="3" customFormat="1" ht="33" customHeight="1" x14ac:dyDescent="0.35">
      <c r="A257" s="6" t="s">
        <v>483</v>
      </c>
      <c r="B257" s="7" t="s">
        <v>484</v>
      </c>
      <c r="C257" s="7" t="s">
        <v>1215</v>
      </c>
      <c r="D257" s="7" t="s">
        <v>1268</v>
      </c>
      <c r="E257" s="5" t="str">
        <f>HYPERLINK("https://www.pchmayoreo.com/index.php/catalogsearch/result/?q=AC-352697-1", "Ir a sitio web")</f>
        <v>Ir a sitio web</v>
      </c>
    </row>
    <row r="258" spans="1:5" s="3" customFormat="1" ht="33" customHeight="1" x14ac:dyDescent="0.35">
      <c r="A258" s="6" t="s">
        <v>485</v>
      </c>
      <c r="B258" s="7" t="s">
        <v>486</v>
      </c>
      <c r="C258" s="7" t="s">
        <v>1215</v>
      </c>
      <c r="D258" s="7" t="s">
        <v>1268</v>
      </c>
      <c r="E258" s="5" t="str">
        <f>HYPERLINK("https://www.pchmayoreo.com/index.php/catalogsearch/result/?q=AC-355083-1", "Ir a sitio web")</f>
        <v>Ir a sitio web</v>
      </c>
    </row>
    <row r="259" spans="1:5" s="3" customFormat="1" ht="33" customHeight="1" x14ac:dyDescent="0.35">
      <c r="A259" s="6" t="s">
        <v>487</v>
      </c>
      <c r="B259" s="7" t="s">
        <v>488</v>
      </c>
      <c r="C259" s="7" t="s">
        <v>1215</v>
      </c>
      <c r="D259" s="7" t="s">
        <v>1268</v>
      </c>
      <c r="E259" s="5" t="str">
        <f>HYPERLINK("https://www.pchmayoreo.com/index.php/catalogsearch/result/?q=AC-352614-1", "Ir a sitio web")</f>
        <v>Ir a sitio web</v>
      </c>
    </row>
    <row r="260" spans="1:5" s="3" customFormat="1" ht="33" customHeight="1" x14ac:dyDescent="0.35">
      <c r="A260" s="6" t="s">
        <v>489</v>
      </c>
      <c r="B260" s="7" t="s">
        <v>490</v>
      </c>
      <c r="C260" s="7" t="s">
        <v>1215</v>
      </c>
      <c r="D260" s="7" t="s">
        <v>1268</v>
      </c>
      <c r="E260" s="5" t="str">
        <f>HYPERLINK("https://www.pchmayoreo.com/index.php/catalogsearch/result/?q=AC-365084-4", "Ir a sitio web")</f>
        <v>Ir a sitio web</v>
      </c>
    </row>
    <row r="261" spans="1:5" s="3" customFormat="1" ht="33" customHeight="1" x14ac:dyDescent="0.35">
      <c r="A261" s="6" t="s">
        <v>491</v>
      </c>
      <c r="B261" s="7" t="s">
        <v>492</v>
      </c>
      <c r="C261" s="7" t="s">
        <v>1215</v>
      </c>
      <c r="D261" s="7" t="s">
        <v>1268</v>
      </c>
      <c r="E261" s="5" t="str">
        <f>HYPERLINK("https://www.pchmayoreo.com/index.php/catalogsearch/result/?q=AC-362683-34", "Ir a sitio web")</f>
        <v>Ir a sitio web</v>
      </c>
    </row>
    <row r="262" spans="1:5" s="3" customFormat="1" ht="33" customHeight="1" x14ac:dyDescent="0.35">
      <c r="A262" s="6" t="s">
        <v>493</v>
      </c>
      <c r="B262" s="7" t="s">
        <v>494</v>
      </c>
      <c r="C262" s="7" t="s">
        <v>1215</v>
      </c>
      <c r="D262" s="7" t="s">
        <v>1268</v>
      </c>
      <c r="E262" s="5" t="str">
        <f>HYPERLINK("https://www.pchmayoreo.com/index.php/catalogsearch/result/?q=AC-362683-23", "Ir a sitio web")</f>
        <v>Ir a sitio web</v>
      </c>
    </row>
    <row r="263" spans="1:5" s="3" customFormat="1" ht="33" customHeight="1" x14ac:dyDescent="0.35">
      <c r="A263" s="6" t="s">
        <v>495</v>
      </c>
      <c r="B263" s="7" t="s">
        <v>496</v>
      </c>
      <c r="C263" s="7" t="s">
        <v>1215</v>
      </c>
      <c r="D263" s="7" t="s">
        <v>1268</v>
      </c>
      <c r="E263" s="5" t="str">
        <f>HYPERLINK("https://www.pchmayoreo.com/index.php/catalogsearch/result/?q=AC-484111-1", "Ir a sitio web")</f>
        <v>Ir a sitio web</v>
      </c>
    </row>
    <row r="264" spans="1:5" s="3" customFormat="1" ht="33" customHeight="1" x14ac:dyDescent="0.35">
      <c r="A264" s="6" t="s">
        <v>497</v>
      </c>
      <c r="B264" s="7" t="s">
        <v>498</v>
      </c>
      <c r="C264" s="7" t="s">
        <v>1215</v>
      </c>
      <c r="D264" s="7" t="s">
        <v>1268</v>
      </c>
      <c r="E264" s="5" t="str">
        <f>HYPERLINK("https://www.pchmayoreo.com/index.php/catalogsearch/result/?q=AC-362683-25", "Ir a sitio web")</f>
        <v>Ir a sitio web</v>
      </c>
    </row>
    <row r="265" spans="1:5" s="3" customFormat="1" ht="33" customHeight="1" x14ac:dyDescent="0.35">
      <c r="A265" s="6" t="s">
        <v>499</v>
      </c>
      <c r="B265" s="7" t="s">
        <v>500</v>
      </c>
      <c r="C265" s="7" t="s">
        <v>1215</v>
      </c>
      <c r="D265" s="7" t="s">
        <v>1268</v>
      </c>
      <c r="E265" s="5" t="str">
        <f>HYPERLINK("https://www.pchmayoreo.com/index.php/catalogsearch/result/?q=AC-415083-7", "Ir a sitio web")</f>
        <v>Ir a sitio web</v>
      </c>
    </row>
    <row r="266" spans="1:5" s="3" customFormat="1" ht="33" customHeight="1" x14ac:dyDescent="0.35">
      <c r="A266" s="6" t="s">
        <v>501</v>
      </c>
      <c r="B266" s="7" t="s">
        <v>502</v>
      </c>
      <c r="C266" s="7" t="s">
        <v>1215</v>
      </c>
      <c r="D266" s="7" t="s">
        <v>1268</v>
      </c>
      <c r="E266" s="5" t="str">
        <f>HYPERLINK("https://www.pchmayoreo.com/index.php/catalogsearch/result/?q=AC-352614-2", "Ir a sitio web")</f>
        <v>Ir a sitio web</v>
      </c>
    </row>
    <row r="267" spans="1:5" s="3" customFormat="1" ht="33" customHeight="1" x14ac:dyDescent="0.35">
      <c r="A267" s="6" t="s">
        <v>503</v>
      </c>
      <c r="B267" s="7" t="s">
        <v>504</v>
      </c>
      <c r="C267" s="7" t="s">
        <v>1215</v>
      </c>
      <c r="D267" s="7" t="s">
        <v>1268</v>
      </c>
      <c r="E267" s="5" t="str">
        <f>HYPERLINK("https://www.pchmayoreo.com/index.php/catalogsearch/result/?q=AC-353503-57", "Ir a sitio web")</f>
        <v>Ir a sitio web</v>
      </c>
    </row>
    <row r="268" spans="1:5" s="3" customFormat="1" ht="33" customHeight="1" x14ac:dyDescent="0.35">
      <c r="A268" s="6" t="s">
        <v>505</v>
      </c>
      <c r="B268" s="7" t="s">
        <v>506</v>
      </c>
      <c r="C268" s="7" t="s">
        <v>1215</v>
      </c>
      <c r="D268" s="7" t="s">
        <v>1268</v>
      </c>
      <c r="E268" s="5" t="str">
        <f>HYPERLINK("https://www.pchmayoreo.com/index.php/catalogsearch/result/?q=AC-362614-1", "Ir a sitio web")</f>
        <v>Ir a sitio web</v>
      </c>
    </row>
    <row r="269" spans="1:5" s="3" customFormat="1" ht="33" customHeight="1" x14ac:dyDescent="0.35">
      <c r="A269" s="6" t="s">
        <v>507</v>
      </c>
      <c r="B269" s="7" t="s">
        <v>508</v>
      </c>
      <c r="C269" s="7" t="s">
        <v>1215</v>
      </c>
      <c r="D269" s="7" t="s">
        <v>1268</v>
      </c>
      <c r="E269" s="5" t="str">
        <f>HYPERLINK("https://www.pchmayoreo.com/index.php/catalogsearch/result/?q=AC-352675-3", "Ir a sitio web")</f>
        <v>Ir a sitio web</v>
      </c>
    </row>
    <row r="270" spans="1:5" s="3" customFormat="1" ht="33" customHeight="1" x14ac:dyDescent="0.35">
      <c r="A270" s="6" t="s">
        <v>509</v>
      </c>
      <c r="B270" s="7" t="s">
        <v>510</v>
      </c>
      <c r="C270" s="7" t="s">
        <v>1215</v>
      </c>
      <c r="D270" s="7" t="s">
        <v>1268</v>
      </c>
      <c r="E270" s="5" t="str">
        <f>HYPERLINK("https://www.pchmayoreo.com/index.php/catalogsearch/result/?q=AC-362612-2", "Ir a sitio web")</f>
        <v>Ir a sitio web</v>
      </c>
    </row>
    <row r="271" spans="1:5" s="3" customFormat="1" ht="33" customHeight="1" x14ac:dyDescent="0.35">
      <c r="A271" s="6" t="s">
        <v>511</v>
      </c>
      <c r="B271" s="7" t="s">
        <v>512</v>
      </c>
      <c r="C271" s="7" t="s">
        <v>1215</v>
      </c>
      <c r="D271" s="7" t="s">
        <v>1268</v>
      </c>
      <c r="E271" s="5" t="str">
        <f>HYPERLINK("https://www.pchmayoreo.com/index.php/catalogsearch/result/?q=AC-366503-51", "Ir a sitio web")</f>
        <v>Ir a sitio web</v>
      </c>
    </row>
    <row r="272" spans="1:5" s="3" customFormat="1" ht="33" customHeight="1" x14ac:dyDescent="0.35">
      <c r="A272" s="6" t="s">
        <v>513</v>
      </c>
      <c r="B272" s="7" t="s">
        <v>514</v>
      </c>
      <c r="C272" s="7" t="s">
        <v>1215</v>
      </c>
      <c r="D272" s="7" t="s">
        <v>1268</v>
      </c>
      <c r="E272" s="5" t="str">
        <f>HYPERLINK("https://www.pchmayoreo.com/index.php/catalogsearch/result/?q=AC-366503-9", "Ir a sitio web")</f>
        <v>Ir a sitio web</v>
      </c>
    </row>
    <row r="273" spans="1:5" s="3" customFormat="1" ht="33" customHeight="1" x14ac:dyDescent="0.35">
      <c r="A273" s="6" t="s">
        <v>515</v>
      </c>
      <c r="B273" s="7" t="s">
        <v>516</v>
      </c>
      <c r="C273" s="7" t="s">
        <v>1215</v>
      </c>
      <c r="D273" s="7" t="s">
        <v>1268</v>
      </c>
      <c r="E273" s="5" t="str">
        <f>HYPERLINK("https://www.pchmayoreo.com/index.php/catalogsearch/result/?q=AC-362614-5", "Ir a sitio web")</f>
        <v>Ir a sitio web</v>
      </c>
    </row>
    <row r="274" spans="1:5" s="3" customFormat="1" ht="33" customHeight="1" x14ac:dyDescent="0.35">
      <c r="A274" s="6" t="s">
        <v>517</v>
      </c>
      <c r="B274" s="7" t="s">
        <v>518</v>
      </c>
      <c r="C274" s="7" t="s">
        <v>1215</v>
      </c>
      <c r="D274" s="7" t="s">
        <v>1268</v>
      </c>
      <c r="E274" s="5" t="str">
        <f>HYPERLINK("https://www.pchmayoreo.com/index.php/catalogsearch/result/?q=AC-402677-2", "Ir a sitio web")</f>
        <v>Ir a sitio web</v>
      </c>
    </row>
    <row r="275" spans="1:5" s="3" customFormat="1" ht="33" customHeight="1" x14ac:dyDescent="0.35">
      <c r="A275" s="6" t="s">
        <v>519</v>
      </c>
      <c r="B275" s="7" t="s">
        <v>520</v>
      </c>
      <c r="C275" s="7" t="s">
        <v>1215</v>
      </c>
      <c r="D275" s="7" t="s">
        <v>1268</v>
      </c>
      <c r="E275" s="5" t="str">
        <f>HYPERLINK("https://www.pchmayoreo.com/index.php/catalogsearch/result/?q=AC-353503-10", "Ir a sitio web")</f>
        <v>Ir a sitio web</v>
      </c>
    </row>
    <row r="276" spans="1:5" s="3" customFormat="1" ht="33" customHeight="1" x14ac:dyDescent="0.35">
      <c r="A276" s="6" t="s">
        <v>521</v>
      </c>
      <c r="B276" s="7" t="s">
        <v>522</v>
      </c>
      <c r="C276" s="7" t="s">
        <v>1215</v>
      </c>
      <c r="D276" s="7" t="s">
        <v>1268</v>
      </c>
      <c r="E276" s="5" t="str">
        <f>HYPERLINK("https://www.pchmayoreo.com/index.php/catalogsearch/result/?q=AC-421503-1", "Ir a sitio web")</f>
        <v>Ir a sitio web</v>
      </c>
    </row>
    <row r="277" spans="1:5" s="3" customFormat="1" ht="33" customHeight="1" x14ac:dyDescent="0.35">
      <c r="A277" s="6" t="s">
        <v>523</v>
      </c>
      <c r="B277" s="7" t="s">
        <v>524</v>
      </c>
      <c r="C277" s="7" t="s">
        <v>1215</v>
      </c>
      <c r="D277" s="7" t="s">
        <v>1268</v>
      </c>
      <c r="E277" s="5" t="str">
        <f>HYPERLINK("https://www.pchmayoreo.com/index.php/catalogsearch/result/?q=AC-362683-30", "Ir a sitio web")</f>
        <v>Ir a sitio web</v>
      </c>
    </row>
    <row r="278" spans="1:5" s="3" customFormat="1" ht="33" customHeight="1" x14ac:dyDescent="0.35">
      <c r="A278" s="6" t="s">
        <v>525</v>
      </c>
      <c r="B278" s="7" t="s">
        <v>526</v>
      </c>
      <c r="C278" s="7" t="s">
        <v>1252</v>
      </c>
      <c r="D278" s="7" t="s">
        <v>1268</v>
      </c>
      <c r="E278" s="5" t="str">
        <f>HYPERLINK("https://www.pchmayoreo.com/index.php/catalogsearch/result/?q=RE-482681-1", "Ir a sitio web")</f>
        <v>Ir a sitio web</v>
      </c>
    </row>
    <row r="279" spans="1:5" s="3" customFormat="1" ht="33" customHeight="1" x14ac:dyDescent="0.35">
      <c r="A279" s="6" t="s">
        <v>527</v>
      </c>
      <c r="B279" s="7" t="s">
        <v>528</v>
      </c>
      <c r="C279" s="7" t="s">
        <v>1215</v>
      </c>
      <c r="D279" s="7" t="s">
        <v>1268</v>
      </c>
      <c r="E279" s="5" t="str">
        <f>HYPERLINK("https://www.pchmayoreo.com/index.php/catalogsearch/result/?q=AC-362683-12", "Ir a sitio web")</f>
        <v>Ir a sitio web</v>
      </c>
    </row>
    <row r="280" spans="1:5" s="3" customFormat="1" ht="33" customHeight="1" x14ac:dyDescent="0.35">
      <c r="A280" s="6" t="s">
        <v>529</v>
      </c>
      <c r="B280" s="7" t="s">
        <v>530</v>
      </c>
      <c r="C280" s="7" t="s">
        <v>1215</v>
      </c>
      <c r="D280" s="7" t="s">
        <v>1268</v>
      </c>
      <c r="E280" s="5" t="str">
        <f>HYPERLINK("https://www.pchmayoreo.com/index.php/catalogsearch/result/?q=AC-362683-31", "Ir a sitio web")</f>
        <v>Ir a sitio web</v>
      </c>
    </row>
    <row r="281" spans="1:5" s="3" customFormat="1" ht="33" customHeight="1" x14ac:dyDescent="0.35">
      <c r="A281" s="6" t="s">
        <v>531</v>
      </c>
      <c r="B281" s="7" t="s">
        <v>532</v>
      </c>
      <c r="C281" s="7" t="s">
        <v>1215</v>
      </c>
      <c r="D281" s="7" t="s">
        <v>1268</v>
      </c>
      <c r="E281" s="5" t="str">
        <f>HYPERLINK("https://www.pchmayoreo.com/index.php/catalogsearch/result/?q=AC-352683-8", "Ir a sitio web")</f>
        <v>Ir a sitio web</v>
      </c>
    </row>
    <row r="282" spans="1:5" s="3" customFormat="1" ht="33" customHeight="1" x14ac:dyDescent="0.35">
      <c r="A282" s="6" t="s">
        <v>533</v>
      </c>
      <c r="B282" s="7" t="s">
        <v>534</v>
      </c>
      <c r="C282" s="7" t="s">
        <v>1215</v>
      </c>
      <c r="D282" s="7" t="s">
        <v>1268</v>
      </c>
      <c r="E282" s="5" t="str">
        <f>HYPERLINK("https://www.pchmayoreo.com/index.php/catalogsearch/result/?q=AC-366503-35", "Ir a sitio web")</f>
        <v>Ir a sitio web</v>
      </c>
    </row>
    <row r="283" spans="1:5" s="3" customFormat="1" ht="33" customHeight="1" x14ac:dyDescent="0.35">
      <c r="A283" s="6" t="s">
        <v>535</v>
      </c>
      <c r="B283" s="7" t="s">
        <v>536</v>
      </c>
      <c r="C283" s="7" t="s">
        <v>1215</v>
      </c>
      <c r="D283" s="7" t="s">
        <v>1268</v>
      </c>
      <c r="E283" s="5" t="str">
        <f>HYPERLINK("https://www.pchmayoreo.com/index.php/catalogsearch/result/?q=AC-365014-1", "Ir a sitio web")</f>
        <v>Ir a sitio web</v>
      </c>
    </row>
    <row r="284" spans="1:5" s="3" customFormat="1" ht="33" customHeight="1" x14ac:dyDescent="0.35">
      <c r="A284" s="6" t="s">
        <v>537</v>
      </c>
      <c r="B284" s="7" t="s">
        <v>538</v>
      </c>
      <c r="C284" s="7" t="s">
        <v>1215</v>
      </c>
      <c r="D284" s="7" t="s">
        <v>1268</v>
      </c>
      <c r="E284" s="5" t="str">
        <f>HYPERLINK("https://www.pchmayoreo.com/index.php/catalogsearch/result/?q=AC-355096-3", "Ir a sitio web")</f>
        <v>Ir a sitio web</v>
      </c>
    </row>
    <row r="285" spans="1:5" s="3" customFormat="1" ht="33" customHeight="1" x14ac:dyDescent="0.35">
      <c r="A285" s="6" t="s">
        <v>539</v>
      </c>
      <c r="B285" s="7" t="s">
        <v>540</v>
      </c>
      <c r="C285" s="7" t="s">
        <v>1215</v>
      </c>
      <c r="D285" s="7" t="s">
        <v>1268</v>
      </c>
      <c r="E285" s="5" t="str">
        <f>HYPERLINK("https://www.pchmayoreo.com/index.php/catalogsearch/result/?q=AC-352683-22", "Ir a sitio web")</f>
        <v>Ir a sitio web</v>
      </c>
    </row>
    <row r="286" spans="1:5" s="3" customFormat="1" ht="33" customHeight="1" x14ac:dyDescent="0.35">
      <c r="A286" s="6" t="s">
        <v>541</v>
      </c>
      <c r="B286" s="7" t="s">
        <v>542</v>
      </c>
      <c r="C286" s="7" t="s">
        <v>1215</v>
      </c>
      <c r="D286" s="7" t="s">
        <v>1268</v>
      </c>
      <c r="E286" s="5" t="str">
        <f>HYPERLINK("https://www.pchmayoreo.com/index.php/catalogsearch/result/?q=AC-362610-2", "Ir a sitio web")</f>
        <v>Ir a sitio web</v>
      </c>
    </row>
    <row r="287" spans="1:5" s="3" customFormat="1" ht="33" customHeight="1" x14ac:dyDescent="0.35">
      <c r="A287" s="6" t="s">
        <v>543</v>
      </c>
      <c r="B287" s="7" t="s">
        <v>544</v>
      </c>
      <c r="C287" s="7" t="s">
        <v>1215</v>
      </c>
      <c r="D287" s="7" t="s">
        <v>1268</v>
      </c>
      <c r="E287" s="5" t="str">
        <f>HYPERLINK("https://www.pchmayoreo.com/index.php/catalogsearch/result/?q=AC-405074-1", "Ir a sitio web")</f>
        <v>Ir a sitio web</v>
      </c>
    </row>
    <row r="288" spans="1:5" s="3" customFormat="1" ht="33" customHeight="1" x14ac:dyDescent="0.35">
      <c r="A288" s="6" t="s">
        <v>545</v>
      </c>
      <c r="B288" s="7" t="s">
        <v>546</v>
      </c>
      <c r="C288" s="7" t="s">
        <v>1215</v>
      </c>
      <c r="D288" s="7" t="s">
        <v>1268</v>
      </c>
      <c r="E288" s="5" t="str">
        <f>HYPERLINK("https://www.pchmayoreo.com/index.php/catalogsearch/result/?q=AC-362678-18", "Ir a sitio web")</f>
        <v>Ir a sitio web</v>
      </c>
    </row>
    <row r="289" spans="1:5" s="3" customFormat="1" ht="33" customHeight="1" x14ac:dyDescent="0.35">
      <c r="A289" s="6" t="s">
        <v>547</v>
      </c>
      <c r="B289" s="7" t="s">
        <v>548</v>
      </c>
      <c r="C289" s="7" t="s">
        <v>1215</v>
      </c>
      <c r="D289" s="7" t="s">
        <v>1268</v>
      </c>
      <c r="E289" s="5" t="str">
        <f>HYPERLINK("https://www.pchmayoreo.com/index.php/catalogsearch/result/?q=AC-362678-29", "Ir a sitio web")</f>
        <v>Ir a sitio web</v>
      </c>
    </row>
    <row r="290" spans="1:5" s="3" customFormat="1" ht="33" customHeight="1" x14ac:dyDescent="0.35">
      <c r="A290" s="6" t="s">
        <v>549</v>
      </c>
      <c r="B290" s="7" t="s">
        <v>550</v>
      </c>
      <c r="C290" s="7" t="s">
        <v>1215</v>
      </c>
      <c r="D290" s="7" t="s">
        <v>1268</v>
      </c>
      <c r="E290" s="5" t="str">
        <f>HYPERLINK("https://www.pchmayoreo.com/index.php/catalogsearch/result/?q=AC-362683-2", "Ir a sitio web")</f>
        <v>Ir a sitio web</v>
      </c>
    </row>
    <row r="291" spans="1:5" s="3" customFormat="1" ht="33" customHeight="1" x14ac:dyDescent="0.35">
      <c r="A291" s="6" t="s">
        <v>551</v>
      </c>
      <c r="B291" s="7" t="s">
        <v>552</v>
      </c>
      <c r="C291" s="7" t="s">
        <v>1215</v>
      </c>
      <c r="D291" s="7" t="s">
        <v>1268</v>
      </c>
      <c r="E291" s="5" t="str">
        <f>HYPERLINK("https://www.pchmayoreo.com/index.php/catalogsearch/result/?q=AC-352683-27", "Ir a sitio web")</f>
        <v>Ir a sitio web</v>
      </c>
    </row>
    <row r="292" spans="1:5" s="3" customFormat="1" ht="33" customHeight="1" x14ac:dyDescent="0.35">
      <c r="A292" s="6" t="s">
        <v>553</v>
      </c>
      <c r="B292" s="7" t="s">
        <v>554</v>
      </c>
      <c r="C292" s="7" t="s">
        <v>1232</v>
      </c>
      <c r="D292" s="7" t="s">
        <v>1269</v>
      </c>
      <c r="E292" s="5" t="str">
        <f>HYPERLINK("https://www.pchmayoreo.com/index.php/catalogsearch/result/?q=AU-378610-23", "Ir a sitio web")</f>
        <v>Ir a sitio web</v>
      </c>
    </row>
    <row r="293" spans="1:5" s="3" customFormat="1" ht="33" customHeight="1" x14ac:dyDescent="0.35">
      <c r="A293" s="6" t="s">
        <v>555</v>
      </c>
      <c r="B293" s="7" t="s">
        <v>556</v>
      </c>
      <c r="C293" s="7" t="s">
        <v>1270</v>
      </c>
      <c r="D293" s="7" t="s">
        <v>1269</v>
      </c>
      <c r="E293" s="5" t="str">
        <f>HYPERLINK("https://www.pchmayoreo.com/index.php/catalogsearch/result/?q=TE-486173-1", "Ir a sitio web")</f>
        <v>Ir a sitio web</v>
      </c>
    </row>
    <row r="294" spans="1:5" s="3" customFormat="1" ht="33" customHeight="1" x14ac:dyDescent="0.35">
      <c r="A294" s="6" t="s">
        <v>557</v>
      </c>
      <c r="B294" s="7" t="s">
        <v>558</v>
      </c>
      <c r="C294" s="7" t="s">
        <v>1259</v>
      </c>
      <c r="D294" s="7" t="s">
        <v>559</v>
      </c>
      <c r="E294" s="3" t="str">
        <f>HYPERLINK("https://www.pchmayoreo.com/index.php/catalogsearch/result/?q=SG-366073-8", "Ir a sitio web")</f>
        <v>Ir a sitio web</v>
      </c>
    </row>
    <row r="295" spans="1:5" s="3" customFormat="1" ht="33" customHeight="1" x14ac:dyDescent="0.35">
      <c r="A295" s="6" t="s">
        <v>560</v>
      </c>
      <c r="B295" s="7" t="s">
        <v>561</v>
      </c>
      <c r="C295" s="7" t="s">
        <v>1259</v>
      </c>
      <c r="D295" s="7" t="s">
        <v>559</v>
      </c>
      <c r="E295" s="5" t="str">
        <f>HYPERLINK("https://www.pchmayoreo.com/index.php/catalogsearch/result/?q=SG-349609-18", "Ir a sitio web")</f>
        <v>Ir a sitio web</v>
      </c>
    </row>
    <row r="296" spans="1:5" s="3" customFormat="1" ht="33" customHeight="1" x14ac:dyDescent="0.35">
      <c r="A296" s="6" t="s">
        <v>562</v>
      </c>
      <c r="B296" s="7" t="s">
        <v>563</v>
      </c>
      <c r="C296" s="7" t="s">
        <v>1259</v>
      </c>
      <c r="D296" s="7" t="s">
        <v>559</v>
      </c>
      <c r="E296" s="3" t="str">
        <f>HYPERLINK("https://www.pchmayoreo.com/index.php/catalogsearch/result/?q=SG-349609-17", "Ir a sitio web")</f>
        <v>Ir a sitio web</v>
      </c>
    </row>
    <row r="297" spans="1:5" s="3" customFormat="1" ht="33" customHeight="1" x14ac:dyDescent="0.35">
      <c r="A297" s="6" t="s">
        <v>564</v>
      </c>
      <c r="B297" s="7" t="s">
        <v>565</v>
      </c>
      <c r="C297" s="7" t="s">
        <v>1259</v>
      </c>
      <c r="D297" s="7" t="s">
        <v>559</v>
      </c>
      <c r="E297" s="3" t="str">
        <f>HYPERLINK("https://www.pchmayoreo.com/index.php/catalogsearch/result/?q=SG-236015-4", "Ir a sitio web")</f>
        <v>Ir a sitio web</v>
      </c>
    </row>
    <row r="298" spans="1:5" s="3" customFormat="1" ht="33" customHeight="1" x14ac:dyDescent="0.35">
      <c r="A298" s="6" t="s">
        <v>566</v>
      </c>
      <c r="B298" s="7" t="s">
        <v>567</v>
      </c>
      <c r="C298" s="7" t="s">
        <v>1259</v>
      </c>
      <c r="D298" s="7" t="s">
        <v>559</v>
      </c>
      <c r="E298" s="5" t="str">
        <f>HYPERLINK("https://www.pchmayoreo.com/index.php/catalogsearch/result/?q=SG-396010-1", "Ir a sitio web")</f>
        <v>Ir a sitio web</v>
      </c>
    </row>
    <row r="299" spans="1:5" s="3" customFormat="1" ht="33" customHeight="1" x14ac:dyDescent="0.35">
      <c r="A299" s="6" t="s">
        <v>568</v>
      </c>
      <c r="B299" s="7" t="s">
        <v>569</v>
      </c>
      <c r="C299" s="7" t="s">
        <v>1259</v>
      </c>
      <c r="D299" s="7" t="s">
        <v>559</v>
      </c>
      <c r="E299" s="3" t="str">
        <f>HYPERLINK("https://www.pchmayoreo.com/index.php/catalogsearch/result/?q=SG-236015-1", "Ir a sitio web")</f>
        <v>Ir a sitio web</v>
      </c>
    </row>
    <row r="300" spans="1:5" s="3" customFormat="1" ht="33" customHeight="1" x14ac:dyDescent="0.35">
      <c r="A300" s="6" t="s">
        <v>570</v>
      </c>
      <c r="B300" s="7" t="s">
        <v>571</v>
      </c>
      <c r="C300" s="7" t="s">
        <v>1259</v>
      </c>
      <c r="D300" s="7" t="s">
        <v>559</v>
      </c>
      <c r="E300" s="3" t="str">
        <f>HYPERLINK("https://www.pchmayoreo.com/index.php/catalogsearch/result/?q=SG-486090-1", "Ir a sitio web")</f>
        <v>Ir a sitio web</v>
      </c>
    </row>
    <row r="301" spans="1:5" s="3" customFormat="1" ht="33" customHeight="1" x14ac:dyDescent="0.35">
      <c r="A301" s="6" t="s">
        <v>572</v>
      </c>
      <c r="B301" s="7" t="s">
        <v>573</v>
      </c>
      <c r="C301" s="7" t="s">
        <v>1256</v>
      </c>
      <c r="D301" s="7" t="s">
        <v>1271</v>
      </c>
      <c r="E301" s="5" t="str">
        <f>HYPERLINK("https://www.pchmayoreo.com/index.php/catalogsearch/result/?q=EN-435496-1", "Ir a sitio web")</f>
        <v>Ir a sitio web</v>
      </c>
    </row>
    <row r="302" spans="1:5" s="3" customFormat="1" ht="33" customHeight="1" x14ac:dyDescent="0.35">
      <c r="A302" s="6" t="s">
        <v>574</v>
      </c>
      <c r="B302" s="7" t="s">
        <v>575</v>
      </c>
      <c r="C302" s="7" t="s">
        <v>1256</v>
      </c>
      <c r="D302" s="7" t="s">
        <v>1271</v>
      </c>
      <c r="E302" s="5" t="str">
        <f>HYPERLINK("https://www.pchmayoreo.com/index.php/catalogsearch/result/?q=EN-415549-5", "Ir a sitio web")</f>
        <v>Ir a sitio web</v>
      </c>
    </row>
    <row r="303" spans="1:5" s="3" customFormat="1" ht="33" customHeight="1" x14ac:dyDescent="0.35">
      <c r="A303" s="6" t="s">
        <v>576</v>
      </c>
      <c r="B303" s="7" t="s">
        <v>577</v>
      </c>
      <c r="C303" s="7" t="s">
        <v>1256</v>
      </c>
      <c r="D303" s="7" t="s">
        <v>1271</v>
      </c>
      <c r="E303" s="5" t="str">
        <f>HYPERLINK("https://www.pchmayoreo.com/index.php/catalogsearch/result/?q=EN-20180119-4", "Ir a sitio web")</f>
        <v>Ir a sitio web</v>
      </c>
    </row>
    <row r="304" spans="1:5" s="3" customFormat="1" ht="33" customHeight="1" x14ac:dyDescent="0.35">
      <c r="A304" s="6" t="s">
        <v>578</v>
      </c>
      <c r="B304" s="7" t="s">
        <v>579</v>
      </c>
      <c r="C304" s="7" t="s">
        <v>1270</v>
      </c>
      <c r="D304" s="7" t="s">
        <v>1272</v>
      </c>
      <c r="E304" s="5" t="str">
        <f>HYPERLINK("https://www.pchmayoreo.com/index.php/catalogsearch/result/?q=TE-465710-8", "Ir a sitio web")</f>
        <v>Ir a sitio web</v>
      </c>
    </row>
    <row r="305" spans="1:5" s="3" customFormat="1" ht="33" customHeight="1" x14ac:dyDescent="0.35">
      <c r="A305" s="6" t="s">
        <v>580</v>
      </c>
      <c r="B305" s="7" t="s">
        <v>581</v>
      </c>
      <c r="C305" s="7" t="s">
        <v>1252</v>
      </c>
      <c r="D305" s="7" t="s">
        <v>1272</v>
      </c>
      <c r="E305" s="5" t="str">
        <f>HYPERLINK("https://www.pchmayoreo.com/index.php/catalogsearch/result/?q=RE-435713-1", "Ir a sitio web")</f>
        <v>Ir a sitio web</v>
      </c>
    </row>
    <row r="306" spans="1:5" s="3" customFormat="1" ht="33" customHeight="1" x14ac:dyDescent="0.35">
      <c r="A306" s="6" t="s">
        <v>582</v>
      </c>
      <c r="B306" s="7" t="s">
        <v>583</v>
      </c>
      <c r="C306" s="7" t="s">
        <v>1252</v>
      </c>
      <c r="D306" s="7" t="s">
        <v>1272</v>
      </c>
      <c r="E306" s="5" t="str">
        <f>HYPERLINK("https://www.pchmayoreo.com/index.php/catalogsearch/result/?q=RE-366574-7", "Ir a sitio web")</f>
        <v>Ir a sitio web</v>
      </c>
    </row>
    <row r="307" spans="1:5" s="3" customFormat="1" ht="33" customHeight="1" x14ac:dyDescent="0.35">
      <c r="A307" s="6" t="s">
        <v>584</v>
      </c>
      <c r="B307" s="7" t="s">
        <v>585</v>
      </c>
      <c r="C307" s="7" t="s">
        <v>1252</v>
      </c>
      <c r="D307" s="7" t="s">
        <v>1272</v>
      </c>
      <c r="E307" s="5" t="str">
        <f>HYPERLINK("https://www.pchmayoreo.com/index.php/catalogsearch/result/?q=RE-356574-9", "Ir a sitio web")</f>
        <v>Ir a sitio web</v>
      </c>
    </row>
    <row r="308" spans="1:5" s="3" customFormat="1" ht="33" customHeight="1" x14ac:dyDescent="0.35">
      <c r="A308" s="6" t="s">
        <v>586</v>
      </c>
      <c r="B308" s="7" t="s">
        <v>587</v>
      </c>
      <c r="C308" s="7" t="s">
        <v>1270</v>
      </c>
      <c r="D308" s="7" t="s">
        <v>1272</v>
      </c>
      <c r="E308" s="5" t="str">
        <f>HYPERLINK("https://www.pchmayoreo.com/index.php/catalogsearch/result/?q=TE-465710-1", "Ir a sitio web")</f>
        <v>Ir a sitio web</v>
      </c>
    </row>
    <row r="309" spans="1:5" s="3" customFormat="1" ht="33" customHeight="1" x14ac:dyDescent="0.35">
      <c r="A309" s="6" t="s">
        <v>588</v>
      </c>
      <c r="B309" s="7" t="s">
        <v>589</v>
      </c>
      <c r="C309" s="7" t="s">
        <v>1252</v>
      </c>
      <c r="D309" s="7" t="s">
        <v>1272</v>
      </c>
      <c r="E309" s="5" t="str">
        <f>HYPERLINK("https://www.pchmayoreo.com/index.php/catalogsearch/result/?q=RE-433574-32", "Ir a sitio web")</f>
        <v>Ir a sitio web</v>
      </c>
    </row>
    <row r="310" spans="1:5" s="3" customFormat="1" ht="33" customHeight="1" x14ac:dyDescent="0.35">
      <c r="A310" s="6" t="s">
        <v>590</v>
      </c>
      <c r="B310" s="7" t="s">
        <v>591</v>
      </c>
      <c r="C310" s="7" t="s">
        <v>1252</v>
      </c>
      <c r="D310" s="7" t="s">
        <v>1272</v>
      </c>
      <c r="E310" s="5" t="str">
        <f>HYPERLINK("https://www.pchmayoreo.com/index.php/catalogsearch/result/?q=RE-356574-11", "Ir a sitio web")</f>
        <v>Ir a sitio web</v>
      </c>
    </row>
    <row r="311" spans="1:5" s="3" customFormat="1" ht="33" customHeight="1" x14ac:dyDescent="0.35">
      <c r="A311" s="6" t="s">
        <v>592</v>
      </c>
      <c r="B311" s="7" t="s">
        <v>593</v>
      </c>
      <c r="C311" s="7" t="s">
        <v>1252</v>
      </c>
      <c r="D311" s="7" t="s">
        <v>1272</v>
      </c>
      <c r="E311" s="5" t="str">
        <f>HYPERLINK("https://www.pchmayoreo.com/index.php/catalogsearch/result/?q=RE-355714-3", "Ir a sitio web")</f>
        <v>Ir a sitio web</v>
      </c>
    </row>
    <row r="312" spans="1:5" s="3" customFormat="1" ht="33" customHeight="1" x14ac:dyDescent="0.35">
      <c r="A312" s="6" t="s">
        <v>594</v>
      </c>
      <c r="B312" s="7" t="s">
        <v>595</v>
      </c>
      <c r="C312" s="7" t="s">
        <v>1270</v>
      </c>
      <c r="D312" s="7" t="s">
        <v>1272</v>
      </c>
      <c r="E312" s="5" t="str">
        <f>HYPERLINK("https://www.pchmayoreo.com/index.php/catalogsearch/result/?q=TE-485714-6", "Ir a sitio web")</f>
        <v>Ir a sitio web</v>
      </c>
    </row>
    <row r="313" spans="1:5" s="3" customFormat="1" ht="33" customHeight="1" x14ac:dyDescent="0.35">
      <c r="A313" s="6" t="s">
        <v>596</v>
      </c>
      <c r="B313" s="7" t="s">
        <v>597</v>
      </c>
      <c r="C313" s="7" t="s">
        <v>1252</v>
      </c>
      <c r="D313" s="7" t="s">
        <v>1272</v>
      </c>
      <c r="E313" s="5" t="str">
        <f>HYPERLINK("https://www.pchmayoreo.com/index.php/catalogsearch/result/?q=RE-355778-11", "Ir a sitio web")</f>
        <v>Ir a sitio web</v>
      </c>
    </row>
    <row r="314" spans="1:5" s="3" customFormat="1" ht="33" customHeight="1" x14ac:dyDescent="0.35">
      <c r="A314" s="6" t="s">
        <v>598</v>
      </c>
      <c r="B314" s="7" t="s">
        <v>599</v>
      </c>
      <c r="C314" s="7" t="s">
        <v>1252</v>
      </c>
      <c r="D314" s="7" t="s">
        <v>1272</v>
      </c>
      <c r="E314" s="5" t="str">
        <f>HYPERLINK("https://www.pchmayoreo.com/index.php/catalogsearch/result/?q=RE-366574-6", "Ir a sitio web")</f>
        <v>Ir a sitio web</v>
      </c>
    </row>
    <row r="315" spans="1:5" s="3" customFormat="1" ht="33" customHeight="1" x14ac:dyDescent="0.35">
      <c r="A315" s="6" t="s">
        <v>600</v>
      </c>
      <c r="B315" s="7" t="s">
        <v>601</v>
      </c>
      <c r="C315" s="7" t="s">
        <v>1252</v>
      </c>
      <c r="D315" s="7" t="s">
        <v>1272</v>
      </c>
      <c r="E315" s="5" t="str">
        <f>HYPERLINK("https://www.pchmayoreo.com/index.php/catalogsearch/result/?q=RE-433574-18", "Ir a sitio web")</f>
        <v>Ir a sitio web</v>
      </c>
    </row>
    <row r="316" spans="1:5" s="3" customFormat="1" ht="33" customHeight="1" x14ac:dyDescent="0.35">
      <c r="A316" s="6" t="s">
        <v>602</v>
      </c>
      <c r="B316" s="7" t="s">
        <v>603</v>
      </c>
      <c r="C316" s="7" t="s">
        <v>1252</v>
      </c>
      <c r="D316" s="7" t="s">
        <v>1272</v>
      </c>
      <c r="E316" s="5" t="str">
        <f>HYPERLINK("https://www.pchmayoreo.com/index.php/catalogsearch/result/?q=RE-353574-18", "Ir a sitio web")</f>
        <v>Ir a sitio web</v>
      </c>
    </row>
    <row r="317" spans="1:5" s="3" customFormat="1" ht="33" customHeight="1" x14ac:dyDescent="0.35">
      <c r="A317" s="6" t="s">
        <v>604</v>
      </c>
      <c r="B317" s="7" t="s">
        <v>605</v>
      </c>
      <c r="C317" s="7" t="s">
        <v>1252</v>
      </c>
      <c r="D317" s="7" t="s">
        <v>1272</v>
      </c>
      <c r="E317" s="5" t="str">
        <f>HYPERLINK("https://www.pchmayoreo.com/index.php/catalogsearch/result/?q=RE-353574-17", "Ir a sitio web")</f>
        <v>Ir a sitio web</v>
      </c>
    </row>
    <row r="318" spans="1:5" s="3" customFormat="1" ht="33" customHeight="1" x14ac:dyDescent="0.35">
      <c r="A318" s="6" t="s">
        <v>606</v>
      </c>
      <c r="B318" s="7" t="s">
        <v>607</v>
      </c>
      <c r="C318" s="7" t="s">
        <v>1252</v>
      </c>
      <c r="D318" s="7" t="s">
        <v>1272</v>
      </c>
      <c r="E318" s="5" t="str">
        <f>HYPERLINK("https://www.pchmayoreo.com/index.php/catalogsearch/result/?q=RE-29270118-4", "Ir a sitio web")</f>
        <v>Ir a sitio web</v>
      </c>
    </row>
    <row r="319" spans="1:5" s="3" customFormat="1" ht="33" customHeight="1" x14ac:dyDescent="0.35">
      <c r="A319" s="6" t="s">
        <v>608</v>
      </c>
      <c r="B319" s="7" t="s">
        <v>609</v>
      </c>
      <c r="C319" s="7" t="s">
        <v>1252</v>
      </c>
      <c r="D319" s="7" t="s">
        <v>1272</v>
      </c>
      <c r="E319" s="5" t="str">
        <f>HYPERLINK("https://www.pchmayoreo.com/index.php/catalogsearch/result/?q=RE-198270-02", "Ir a sitio web")</f>
        <v>Ir a sitio web</v>
      </c>
    </row>
    <row r="320" spans="1:5" s="3" customFormat="1" ht="33" customHeight="1" x14ac:dyDescent="0.35">
      <c r="A320" s="6" t="s">
        <v>610</v>
      </c>
      <c r="B320" s="7" t="s">
        <v>611</v>
      </c>
      <c r="C320" s="7" t="s">
        <v>1273</v>
      </c>
      <c r="D320" s="7" t="s">
        <v>1274</v>
      </c>
      <c r="E320" s="5" t="str">
        <f>HYPERLINK("https://www.pchmayoreo.com/index.php/catalogsearch/result/?q=TM-394270-3", "Ir a sitio web")</f>
        <v>Ir a sitio web</v>
      </c>
    </row>
    <row r="321" spans="1:5" s="3" customFormat="1" ht="33" customHeight="1" x14ac:dyDescent="0.35">
      <c r="A321" s="6" t="s">
        <v>612</v>
      </c>
      <c r="B321" s="7" t="s">
        <v>613</v>
      </c>
      <c r="C321" s="7" t="s">
        <v>1273</v>
      </c>
      <c r="D321" s="7" t="s">
        <v>1274</v>
      </c>
      <c r="E321" s="5" t="str">
        <f>HYPERLINK("https://www.pchmayoreo.com/index.php/catalogsearch/result/?q=TM-354214-11", "Ir a sitio web")</f>
        <v>Ir a sitio web</v>
      </c>
    </row>
    <row r="322" spans="1:5" s="3" customFormat="1" ht="33" customHeight="1" x14ac:dyDescent="0.35">
      <c r="A322" s="6" t="s">
        <v>614</v>
      </c>
      <c r="B322" s="7" t="s">
        <v>615</v>
      </c>
      <c r="C322" s="7" t="s">
        <v>1273</v>
      </c>
      <c r="D322" s="7" t="s">
        <v>1274</v>
      </c>
      <c r="E322" s="5" t="str">
        <f>HYPERLINK("https://www.pchmayoreo.com/index.php/catalogsearch/result/?q=TM-394210-18", "Ir a sitio web")</f>
        <v>Ir a sitio web</v>
      </c>
    </row>
    <row r="323" spans="1:5" s="3" customFormat="1" ht="33" customHeight="1" x14ac:dyDescent="0.35">
      <c r="A323" s="6" t="s">
        <v>616</v>
      </c>
      <c r="B323" s="7" t="s">
        <v>617</v>
      </c>
      <c r="C323" s="7" t="s">
        <v>1215</v>
      </c>
      <c r="D323" s="7" t="s">
        <v>1275</v>
      </c>
      <c r="E323" s="5" t="str">
        <f>HYPERLINK("https://www.pchmayoreo.com/index.php/catalogsearch/result/?q=AC-393779-3", "Ir a sitio web")</f>
        <v>Ir a sitio web</v>
      </c>
    </row>
    <row r="324" spans="1:5" s="3" customFormat="1" ht="33" customHeight="1" x14ac:dyDescent="0.35">
      <c r="A324" s="6" t="s">
        <v>618</v>
      </c>
      <c r="B324" s="7" t="s">
        <v>619</v>
      </c>
      <c r="C324" s="7" t="s">
        <v>1273</v>
      </c>
      <c r="D324" s="7" t="s">
        <v>1275</v>
      </c>
      <c r="E324" s="5" t="str">
        <f>HYPERLINK("https://www.pchmayoreo.com/index.php/catalogsearch/result/?q=TM-393710-90", "Ir a sitio web")</f>
        <v>Ir a sitio web</v>
      </c>
    </row>
    <row r="325" spans="1:5" s="3" customFormat="1" ht="33" customHeight="1" x14ac:dyDescent="0.35">
      <c r="A325" s="6" t="s">
        <v>620</v>
      </c>
      <c r="B325" s="7" t="s">
        <v>621</v>
      </c>
      <c r="C325" s="7" t="s">
        <v>1273</v>
      </c>
      <c r="D325" s="7" t="s">
        <v>1275</v>
      </c>
      <c r="E325" s="5" t="str">
        <f>HYPERLINK("https://www.pchmayoreo.com/index.php/catalogsearch/result/?q=TM-393714-13", "Ir a sitio web")</f>
        <v>Ir a sitio web</v>
      </c>
    </row>
    <row r="326" spans="1:5" s="3" customFormat="1" ht="33" customHeight="1" x14ac:dyDescent="0.35">
      <c r="A326" s="6" t="s">
        <v>622</v>
      </c>
      <c r="B326" s="7" t="s">
        <v>623</v>
      </c>
      <c r="C326" s="7" t="s">
        <v>1273</v>
      </c>
      <c r="D326" s="7" t="s">
        <v>1275</v>
      </c>
      <c r="E326" s="5" t="str">
        <f>HYPERLINK("https://www.pchmayoreo.com/index.php/catalogsearch/result/?q=TM-393714-12", "Ir a sitio web")</f>
        <v>Ir a sitio web</v>
      </c>
    </row>
    <row r="327" spans="1:5" s="3" customFormat="1" ht="33" customHeight="1" x14ac:dyDescent="0.35">
      <c r="A327" s="6" t="s">
        <v>624</v>
      </c>
      <c r="B327" s="7" t="s">
        <v>625</v>
      </c>
      <c r="C327" s="7" t="s">
        <v>1273</v>
      </c>
      <c r="D327" s="7" t="s">
        <v>1275</v>
      </c>
      <c r="E327" s="5" t="str">
        <f>HYPERLINK("https://www.pchmayoreo.com/index.php/catalogsearch/result/?q=TM-393710-137", "Ir a sitio web")</f>
        <v>Ir a sitio web</v>
      </c>
    </row>
    <row r="328" spans="1:5" s="3" customFormat="1" ht="33" customHeight="1" x14ac:dyDescent="0.35">
      <c r="A328" s="6" t="s">
        <v>626</v>
      </c>
      <c r="B328" s="7" t="s">
        <v>627</v>
      </c>
      <c r="C328" s="7" t="s">
        <v>1252</v>
      </c>
      <c r="D328" s="7" t="s">
        <v>1275</v>
      </c>
      <c r="E328" s="5" t="str">
        <f>HYPERLINK("https://www.pchmayoreo.com/index.php/catalogsearch/result/?q=RE-433778-24", "Ir a sitio web")</f>
        <v>Ir a sitio web</v>
      </c>
    </row>
    <row r="329" spans="1:5" s="3" customFormat="1" ht="33" customHeight="1" x14ac:dyDescent="0.35">
      <c r="A329" s="6" t="s">
        <v>628</v>
      </c>
      <c r="B329" s="7" t="s">
        <v>629</v>
      </c>
      <c r="C329" s="7" t="s">
        <v>1222</v>
      </c>
      <c r="D329" s="7" t="s">
        <v>1275</v>
      </c>
      <c r="E329" s="5" t="str">
        <f>HYPERLINK("https://www.pchmayoreo.com/index.php/catalogsearch/result/?q=EQ-513711-3", "Ir a sitio web")</f>
        <v>Ir a sitio web</v>
      </c>
    </row>
    <row r="330" spans="1:5" s="3" customFormat="1" ht="33" customHeight="1" x14ac:dyDescent="0.35">
      <c r="A330" s="6" t="s">
        <v>630</v>
      </c>
      <c r="B330" s="7" t="s">
        <v>631</v>
      </c>
      <c r="C330" s="7" t="s">
        <v>1230</v>
      </c>
      <c r="D330" s="7" t="s">
        <v>1275</v>
      </c>
      <c r="E330" s="5" t="str">
        <f>HYPERLINK("https://www.pchmayoreo.com/index.php/catalogsearch/result/?q=GA-383714-4", "Ir a sitio web")</f>
        <v>Ir a sitio web</v>
      </c>
    </row>
    <row r="331" spans="1:5" s="3" customFormat="1" ht="33" customHeight="1" x14ac:dyDescent="0.35">
      <c r="A331" s="6" t="s">
        <v>632</v>
      </c>
      <c r="B331" s="7" t="s">
        <v>633</v>
      </c>
      <c r="C331" s="7" t="s">
        <v>1215</v>
      </c>
      <c r="D331" s="7" t="s">
        <v>1275</v>
      </c>
      <c r="E331" s="5" t="str">
        <f>HYPERLINK("https://www.pchmayoreo.com/index.php/catalogsearch/result/?q=AC-393710-6", "Ir a sitio web")</f>
        <v>Ir a sitio web</v>
      </c>
    </row>
    <row r="332" spans="1:5" s="3" customFormat="1" ht="33" customHeight="1" x14ac:dyDescent="0.35">
      <c r="A332" s="6" t="s">
        <v>634</v>
      </c>
      <c r="B332" s="7" t="s">
        <v>635</v>
      </c>
      <c r="C332" s="7" t="s">
        <v>1273</v>
      </c>
      <c r="D332" s="7" t="s">
        <v>1275</v>
      </c>
      <c r="E332" s="5" t="str">
        <f>HYPERLINK("https://www.pchmayoreo.com/index.php/catalogsearch/result/?q=TM-393786-3", "Ir a sitio web")</f>
        <v>Ir a sitio web</v>
      </c>
    </row>
    <row r="333" spans="1:5" s="3" customFormat="1" ht="33" customHeight="1" x14ac:dyDescent="0.35">
      <c r="A333" s="6" t="s">
        <v>636</v>
      </c>
      <c r="B333" s="7" t="s">
        <v>637</v>
      </c>
      <c r="C333" s="7" t="s">
        <v>1276</v>
      </c>
      <c r="D333" s="7" t="s">
        <v>1275</v>
      </c>
      <c r="E333" s="5" t="str">
        <f>HYPERLINK("https://www.pchmayoreo.com/index.php/catalogsearch/result/?q=MO-20272123-1", "Ir a sitio web")</f>
        <v>Ir a sitio web</v>
      </c>
    </row>
    <row r="334" spans="1:5" s="3" customFormat="1" ht="33" customHeight="1" x14ac:dyDescent="0.35">
      <c r="A334" s="6" t="s">
        <v>638</v>
      </c>
      <c r="B334" s="7" t="s">
        <v>639</v>
      </c>
      <c r="C334" s="7" t="s">
        <v>1273</v>
      </c>
      <c r="D334" s="7" t="s">
        <v>1275</v>
      </c>
      <c r="E334" s="5" t="str">
        <f>HYPERLINK("https://www.pchmayoreo.com/index.php/catalogsearch/result/?q=TM-393710-12", "Ir a sitio web")</f>
        <v>Ir a sitio web</v>
      </c>
    </row>
    <row r="335" spans="1:5" s="3" customFormat="1" ht="33" customHeight="1" x14ac:dyDescent="0.35">
      <c r="A335" s="6" t="s">
        <v>640</v>
      </c>
      <c r="B335" s="7" t="s">
        <v>641</v>
      </c>
      <c r="C335" s="7" t="s">
        <v>1273</v>
      </c>
      <c r="D335" s="7" t="s">
        <v>1275</v>
      </c>
      <c r="E335" s="5" t="str">
        <f>HYPERLINK("https://www.pchmayoreo.com/index.php/catalogsearch/result/?q=TM-393710-11", "Ir a sitio web")</f>
        <v>Ir a sitio web</v>
      </c>
    </row>
    <row r="336" spans="1:5" s="3" customFormat="1" ht="33" customHeight="1" x14ac:dyDescent="0.35">
      <c r="A336" s="6" t="s">
        <v>642</v>
      </c>
      <c r="B336" s="7" t="s">
        <v>643</v>
      </c>
      <c r="C336" s="7" t="s">
        <v>1215</v>
      </c>
      <c r="D336" s="7" t="s">
        <v>1275</v>
      </c>
      <c r="E336" s="5" t="str">
        <f>HYPERLINK("https://www.pchmayoreo.com/index.php/catalogsearch/result/?q=AC-393797-6", "Ir a sitio web")</f>
        <v>Ir a sitio web</v>
      </c>
    </row>
    <row r="337" spans="1:5" s="3" customFormat="1" ht="33" customHeight="1" x14ac:dyDescent="0.35">
      <c r="A337" s="6" t="s">
        <v>644</v>
      </c>
      <c r="B337" s="7" t="s">
        <v>645</v>
      </c>
      <c r="C337" s="7" t="s">
        <v>1215</v>
      </c>
      <c r="D337" s="7" t="s">
        <v>1275</v>
      </c>
      <c r="E337" s="5" t="str">
        <f>HYPERLINK("https://www.pchmayoreo.com/index.php/catalogsearch/result/?q=AC-393797-5", "Ir a sitio web")</f>
        <v>Ir a sitio web</v>
      </c>
    </row>
    <row r="338" spans="1:5" s="3" customFormat="1" ht="33" customHeight="1" x14ac:dyDescent="0.35">
      <c r="A338" s="6" t="s">
        <v>646</v>
      </c>
      <c r="B338" s="7" t="s">
        <v>647</v>
      </c>
      <c r="C338" s="7" t="s">
        <v>1276</v>
      </c>
      <c r="D338" s="7" t="s">
        <v>1275</v>
      </c>
      <c r="E338" s="5" t="str">
        <f>HYPERLINK("https://www.pchmayoreo.com/index.php/catalogsearch/result/?q=MO-202243-9", "Ir a sitio web")</f>
        <v>Ir a sitio web</v>
      </c>
    </row>
    <row r="339" spans="1:5" s="3" customFormat="1" ht="33" customHeight="1" x14ac:dyDescent="0.35">
      <c r="A339" s="6" t="s">
        <v>648</v>
      </c>
      <c r="B339" s="7" t="s">
        <v>649</v>
      </c>
      <c r="C339" s="7" t="s">
        <v>1215</v>
      </c>
      <c r="D339" s="7" t="s">
        <v>1275</v>
      </c>
      <c r="E339" s="5" t="str">
        <f>HYPERLINK("https://www.pchmayoreo.com/index.php/catalogsearch/result/?q=AC-393710-8", "Ir a sitio web")</f>
        <v>Ir a sitio web</v>
      </c>
    </row>
    <row r="340" spans="1:5" s="3" customFormat="1" ht="33" customHeight="1" x14ac:dyDescent="0.35">
      <c r="A340" s="6" t="s">
        <v>650</v>
      </c>
      <c r="B340" s="7" t="s">
        <v>651</v>
      </c>
      <c r="C340" s="7" t="s">
        <v>1276</v>
      </c>
      <c r="D340" s="7" t="s">
        <v>1275</v>
      </c>
      <c r="E340" s="5" t="str">
        <f>HYPERLINK("https://www.pchmayoreo.com/index.php/catalogsearch/result/?q=MO-411370-3", "Ir a sitio web")</f>
        <v>Ir a sitio web</v>
      </c>
    </row>
    <row r="341" spans="1:5" s="3" customFormat="1" ht="33" customHeight="1" x14ac:dyDescent="0.35">
      <c r="A341" s="6" t="s">
        <v>652</v>
      </c>
      <c r="B341" s="7" t="s">
        <v>653</v>
      </c>
      <c r="C341" s="7" t="s">
        <v>1252</v>
      </c>
      <c r="D341" s="7" t="s">
        <v>1275</v>
      </c>
      <c r="E341" s="5" t="str">
        <f>HYPERLINK("https://www.pchmayoreo.com/index.php/catalogsearch/result/?q=RE-356370-1", "Ir a sitio web")</f>
        <v>Ir a sitio web</v>
      </c>
    </row>
    <row r="342" spans="1:5" s="3" customFormat="1" ht="33" customHeight="1" x14ac:dyDescent="0.35">
      <c r="A342" s="6" t="s">
        <v>654</v>
      </c>
      <c r="B342" s="7" t="s">
        <v>655</v>
      </c>
      <c r="C342" s="7" t="s">
        <v>1222</v>
      </c>
      <c r="D342" s="7" t="s">
        <v>1277</v>
      </c>
      <c r="E342" s="5" t="str">
        <f>HYPERLINK("https://www.pchmayoreo.com/index.php/catalogsearch/result/?q=EQ-513187-2", "Ir a sitio web")</f>
        <v>Ir a sitio web</v>
      </c>
    </row>
    <row r="343" spans="1:5" s="3" customFormat="1" ht="33" customHeight="1" x14ac:dyDescent="0.35">
      <c r="A343" s="6" t="s">
        <v>656</v>
      </c>
      <c r="B343" s="7" t="s">
        <v>657</v>
      </c>
      <c r="C343" s="7" t="s">
        <v>1222</v>
      </c>
      <c r="D343" s="7" t="s">
        <v>1277</v>
      </c>
      <c r="E343" s="5" t="str">
        <f>HYPERLINK("https://www.pchmayoreo.com/index.php/catalogsearch/result/?q=EQ-513186-22", "Ir a sitio web")</f>
        <v>Ir a sitio web</v>
      </c>
    </row>
    <row r="344" spans="1:5" s="3" customFormat="1" ht="33" customHeight="1" x14ac:dyDescent="0.35">
      <c r="A344" s="6" t="s">
        <v>658</v>
      </c>
      <c r="B344" s="7" t="s">
        <v>659</v>
      </c>
      <c r="C344" s="7" t="s">
        <v>1222</v>
      </c>
      <c r="D344" s="7" t="s">
        <v>1277</v>
      </c>
      <c r="E344" s="5" t="str">
        <f>HYPERLINK("https://www.pchmayoreo.com/index.php/catalogsearch/result/?q=EQ-513187-4", "Ir a sitio web")</f>
        <v>Ir a sitio web</v>
      </c>
    </row>
    <row r="345" spans="1:5" s="3" customFormat="1" ht="33" customHeight="1" x14ac:dyDescent="0.35">
      <c r="A345" s="6" t="s">
        <v>660</v>
      </c>
      <c r="B345" s="7" t="s">
        <v>661</v>
      </c>
      <c r="C345" s="7" t="s">
        <v>1222</v>
      </c>
      <c r="D345" s="7" t="s">
        <v>1277</v>
      </c>
      <c r="E345" s="5" t="str">
        <f>HYPERLINK("https://www.pchmayoreo.com/index.php/catalogsearch/result/?q=EQ-513186-23", "Ir a sitio web")</f>
        <v>Ir a sitio web</v>
      </c>
    </row>
    <row r="346" spans="1:5" s="3" customFormat="1" ht="33" customHeight="1" x14ac:dyDescent="0.35">
      <c r="A346" s="6" t="s">
        <v>662</v>
      </c>
      <c r="B346" s="7" t="s">
        <v>663</v>
      </c>
      <c r="C346" s="7" t="s">
        <v>1222</v>
      </c>
      <c r="D346" s="7" t="s">
        <v>1277</v>
      </c>
      <c r="E346" s="5" t="str">
        <f>HYPERLINK("https://www.pchmayoreo.com/index.php/catalogsearch/result/?q=EQ-513186-5", "Ir a sitio web")</f>
        <v>Ir a sitio web</v>
      </c>
    </row>
    <row r="347" spans="1:5" s="3" customFormat="1" ht="33" customHeight="1" x14ac:dyDescent="0.35">
      <c r="A347" s="6" t="s">
        <v>664</v>
      </c>
      <c r="B347" s="7" t="s">
        <v>665</v>
      </c>
      <c r="C347" s="7" t="s">
        <v>1256</v>
      </c>
      <c r="D347" s="7" t="s">
        <v>1278</v>
      </c>
      <c r="E347" s="5" t="str">
        <f>HYPERLINK("https://www.pchmayoreo.com/index.php/catalogsearch/result/?q=EN-384693-9", "Ir a sitio web")</f>
        <v>Ir a sitio web</v>
      </c>
    </row>
    <row r="348" spans="1:5" s="3" customFormat="1" ht="33" customHeight="1" x14ac:dyDescent="0.35">
      <c r="A348" s="6" t="s">
        <v>666</v>
      </c>
      <c r="B348" s="7" t="s">
        <v>667</v>
      </c>
      <c r="C348" s="7" t="s">
        <v>1279</v>
      </c>
      <c r="D348" s="7" t="s">
        <v>1280</v>
      </c>
      <c r="E348" s="5" t="str">
        <f>HYPERLINK("https://www.pchmayoreo.com/index.php/catalogsearch/result/?q=PR-533086-56", "Ir a sitio web")</f>
        <v>Ir a sitio web</v>
      </c>
    </row>
    <row r="349" spans="1:5" s="3" customFormat="1" ht="33" customHeight="1" x14ac:dyDescent="0.35">
      <c r="A349" s="6" t="s">
        <v>668</v>
      </c>
      <c r="B349" s="7" t="s">
        <v>669</v>
      </c>
      <c r="C349" s="7" t="s">
        <v>1279</v>
      </c>
      <c r="D349" s="7" t="s">
        <v>1280</v>
      </c>
      <c r="E349" s="5" t="str">
        <f>HYPERLINK("https://www.pchmayoreo.com/index.php/catalogsearch/result/?q=PR-373310-21", "Ir a sitio web")</f>
        <v>Ir a sitio web</v>
      </c>
    </row>
    <row r="350" spans="1:5" s="3" customFormat="1" ht="33" customHeight="1" x14ac:dyDescent="0.35">
      <c r="A350" s="6" t="s">
        <v>670</v>
      </c>
      <c r="B350" s="7" t="s">
        <v>671</v>
      </c>
      <c r="C350" s="7" t="s">
        <v>1281</v>
      </c>
      <c r="D350" s="7" t="s">
        <v>1282</v>
      </c>
      <c r="E350" s="5" t="str">
        <f>HYPERLINK("https://www.pchmayoreo.com/index.php/catalogsearch/result/?q=TV-415372-17", "Ir a sitio web")</f>
        <v>Ir a sitio web</v>
      </c>
    </row>
    <row r="351" spans="1:5" s="3" customFormat="1" ht="33" customHeight="1" x14ac:dyDescent="0.35">
      <c r="A351" s="6" t="s">
        <v>672</v>
      </c>
      <c r="B351" s="7" t="s">
        <v>673</v>
      </c>
      <c r="C351" s="7" t="s">
        <v>1212</v>
      </c>
      <c r="D351" s="7" t="s">
        <v>1282</v>
      </c>
      <c r="E351" s="5" t="str">
        <f>HYPERLINK("https://www.pchmayoreo.com/index.php/catalogsearch/result/?q=DD-455385-9", "Ir a sitio web")</f>
        <v>Ir a sitio web</v>
      </c>
    </row>
    <row r="352" spans="1:5" s="3" customFormat="1" ht="33" customHeight="1" x14ac:dyDescent="0.35">
      <c r="A352" s="6" t="s">
        <v>674</v>
      </c>
      <c r="B352" s="7" t="s">
        <v>675</v>
      </c>
      <c r="C352" s="7" t="s">
        <v>1281</v>
      </c>
      <c r="D352" s="7" t="s">
        <v>1283</v>
      </c>
      <c r="E352" s="5" t="str">
        <f>HYPERLINK("https://www.pchmayoreo.com/index.php/catalogsearch/result/?q=TV-365471-12", "Ir a sitio web")</f>
        <v>Ir a sitio web</v>
      </c>
    </row>
    <row r="353" spans="1:5" s="3" customFormat="1" ht="33" customHeight="1" x14ac:dyDescent="0.35">
      <c r="A353" s="6" t="s">
        <v>676</v>
      </c>
      <c r="B353" s="7" t="s">
        <v>677</v>
      </c>
      <c r="C353" s="7" t="s">
        <v>1215</v>
      </c>
      <c r="D353" s="7" t="s">
        <v>1284</v>
      </c>
      <c r="E353" s="3" t="str">
        <f>HYPERLINK("https://www.pchmayoreo.com/index.php/catalogsearch/result/?q=AC-353175-1", "Ir a sitio web")</f>
        <v>Ir a sitio web</v>
      </c>
    </row>
    <row r="354" spans="1:5" s="3" customFormat="1" ht="33" customHeight="1" x14ac:dyDescent="0.35">
      <c r="A354" s="6" t="s">
        <v>678</v>
      </c>
      <c r="B354" s="7" t="s">
        <v>679</v>
      </c>
      <c r="C354" s="7" t="s">
        <v>1232</v>
      </c>
      <c r="D354" s="7" t="s">
        <v>1284</v>
      </c>
      <c r="E354" s="3" t="str">
        <f>HYPERLINK("https://www.pchmayoreo.com/index.php/catalogsearch/result/?q=AU-363174-51", "Ir a sitio web")</f>
        <v>Ir a sitio web</v>
      </c>
    </row>
    <row r="355" spans="1:5" s="3" customFormat="1" ht="33" customHeight="1" x14ac:dyDescent="0.35">
      <c r="A355" s="6" t="s">
        <v>680</v>
      </c>
      <c r="B355" s="7" t="s">
        <v>681</v>
      </c>
      <c r="C355" s="7" t="s">
        <v>1215</v>
      </c>
      <c r="D355" s="7" t="s">
        <v>1284</v>
      </c>
      <c r="E355" s="3" t="str">
        <f>HYPERLINK("https://www.pchmayoreo.com/index.php/catalogsearch/result/?q=AC-393183-2", "Ir a sitio web")</f>
        <v>Ir a sitio web</v>
      </c>
    </row>
    <row r="356" spans="1:5" s="3" customFormat="1" ht="33" customHeight="1" x14ac:dyDescent="0.35">
      <c r="A356" s="6" t="s">
        <v>682</v>
      </c>
      <c r="B356" s="7" t="s">
        <v>683</v>
      </c>
      <c r="C356" s="7" t="s">
        <v>1215</v>
      </c>
      <c r="D356" s="7" t="s">
        <v>1284</v>
      </c>
      <c r="E356" s="3" t="str">
        <f>HYPERLINK("https://www.pchmayoreo.com/index.php/catalogsearch/result/?q=AC-393178-6", "Ir a sitio web")</f>
        <v>Ir a sitio web</v>
      </c>
    </row>
    <row r="357" spans="1:5" s="3" customFormat="1" ht="33" customHeight="1" x14ac:dyDescent="0.35">
      <c r="A357" s="6" t="s">
        <v>684</v>
      </c>
      <c r="B357" s="7" t="s">
        <v>685</v>
      </c>
      <c r="C357" s="7" t="s">
        <v>1232</v>
      </c>
      <c r="D357" s="7" t="s">
        <v>1284</v>
      </c>
      <c r="E357" s="3" t="str">
        <f>HYPERLINK("https://www.pchmayoreo.com/index.php/catalogsearch/result/?q=AU-593174-1", "Ir a sitio web")</f>
        <v>Ir a sitio web</v>
      </c>
    </row>
    <row r="358" spans="1:5" s="3" customFormat="1" ht="33" customHeight="1" x14ac:dyDescent="0.35">
      <c r="A358" s="6" t="s">
        <v>686</v>
      </c>
      <c r="B358" s="7" t="s">
        <v>687</v>
      </c>
      <c r="C358" s="7" t="s">
        <v>1270</v>
      </c>
      <c r="D358" s="7" t="s">
        <v>1284</v>
      </c>
      <c r="E358" s="3" t="str">
        <f>HYPERLINK("https://www.pchmayoreo.com/index.php/catalogsearch/result/?q=AC-483187-10", "Ir a sitio web")</f>
        <v>Ir a sitio web</v>
      </c>
    </row>
    <row r="359" spans="1:5" s="3" customFormat="1" ht="33" customHeight="1" x14ac:dyDescent="0.35">
      <c r="A359" s="6" t="s">
        <v>688</v>
      </c>
      <c r="B359" s="7" t="s">
        <v>689</v>
      </c>
      <c r="C359" s="7" t="s">
        <v>1215</v>
      </c>
      <c r="D359" s="7" t="s">
        <v>1284</v>
      </c>
      <c r="E359" s="3" t="str">
        <f>HYPERLINK("https://www.pchmayoreo.com/index.php/catalogsearch/result/?q=AC-423179-1", "Ir a sitio web")</f>
        <v>Ir a sitio web</v>
      </c>
    </row>
    <row r="360" spans="1:5" s="3" customFormat="1" ht="33" customHeight="1" x14ac:dyDescent="0.35">
      <c r="A360" s="6" t="s">
        <v>690</v>
      </c>
      <c r="B360" s="7" t="s">
        <v>691</v>
      </c>
      <c r="C360" s="7" t="s">
        <v>1215</v>
      </c>
      <c r="D360" s="7" t="s">
        <v>1284</v>
      </c>
      <c r="E360" s="3" t="str">
        <f>HYPERLINK("https://www.pchmayoreo.com/index.php/catalogsearch/result/?q=AC-2238104-04", "Ir a sitio web")</f>
        <v>Ir a sitio web</v>
      </c>
    </row>
    <row r="361" spans="1:5" s="3" customFormat="1" ht="33" customHeight="1" x14ac:dyDescent="0.35">
      <c r="A361" s="6" t="s">
        <v>692</v>
      </c>
      <c r="B361" s="7" t="s">
        <v>693</v>
      </c>
      <c r="C361" s="7" t="s">
        <v>1232</v>
      </c>
      <c r="D361" s="7" t="s">
        <v>1285</v>
      </c>
      <c r="E361" s="3" t="str">
        <f>HYPERLINK("https://www.pchmayoreo.com/index.php/catalogsearch/result/?q=AU-363174-7", "Ir a sitio web")</f>
        <v>Ir a sitio web</v>
      </c>
    </row>
    <row r="362" spans="1:5" s="3" customFormat="1" ht="33" customHeight="1" x14ac:dyDescent="0.35">
      <c r="A362" s="6" t="s">
        <v>694</v>
      </c>
      <c r="B362" s="7" t="s">
        <v>695</v>
      </c>
      <c r="C362" s="7" t="s">
        <v>1232</v>
      </c>
      <c r="D362" s="7" t="s">
        <v>1285</v>
      </c>
      <c r="E362" s="3" t="str">
        <f>HYPERLINK("https://www.pchmayoreo.com/index.php/catalogsearch/result/?q=AU-363174-27", "Ir a sitio web")</f>
        <v>Ir a sitio web</v>
      </c>
    </row>
    <row r="363" spans="1:5" s="3" customFormat="1" ht="33" customHeight="1" x14ac:dyDescent="0.35">
      <c r="A363" s="6" t="s">
        <v>696</v>
      </c>
      <c r="B363" s="7" t="s">
        <v>697</v>
      </c>
      <c r="C363" s="7" t="s">
        <v>1232</v>
      </c>
      <c r="D363" s="7" t="s">
        <v>1285</v>
      </c>
      <c r="E363" s="3" t="str">
        <f>HYPERLINK("https://www.pchmayoreo.com/index.php/catalogsearch/result/?q=AU-363174-17", "Ir a sitio web")</f>
        <v>Ir a sitio web</v>
      </c>
    </row>
    <row r="364" spans="1:5" s="3" customFormat="1" ht="33" customHeight="1" x14ac:dyDescent="0.35">
      <c r="A364" s="6" t="s">
        <v>698</v>
      </c>
      <c r="B364" s="7" t="s">
        <v>699</v>
      </c>
      <c r="C364" s="7" t="s">
        <v>1232</v>
      </c>
      <c r="D364" s="7" t="s">
        <v>1285</v>
      </c>
      <c r="E364" s="3" t="str">
        <f>HYPERLINK("https://www.pchmayoreo.com/index.php/catalogsearch/result/?q=AU-363174-28", "Ir a sitio web")</f>
        <v>Ir a sitio web</v>
      </c>
    </row>
    <row r="365" spans="1:5" s="3" customFormat="1" ht="33" customHeight="1" x14ac:dyDescent="0.35">
      <c r="A365" s="6" t="s">
        <v>700</v>
      </c>
      <c r="B365" s="7" t="s">
        <v>701</v>
      </c>
      <c r="C365" s="7" t="s">
        <v>1232</v>
      </c>
      <c r="D365" s="7" t="s">
        <v>1285</v>
      </c>
      <c r="E365" s="3" t="str">
        <f>HYPERLINK("https://www.pchmayoreo.com/index.php/catalogsearch/result/?q=AU-363174-34", "Ir a sitio web")</f>
        <v>Ir a sitio web</v>
      </c>
    </row>
    <row r="366" spans="1:5" s="3" customFormat="1" ht="33" customHeight="1" x14ac:dyDescent="0.35">
      <c r="A366" s="6" t="s">
        <v>702</v>
      </c>
      <c r="B366" s="7" t="s">
        <v>703</v>
      </c>
      <c r="C366" s="7" t="s">
        <v>1232</v>
      </c>
      <c r="D366" s="7" t="s">
        <v>1285</v>
      </c>
      <c r="E366" s="3" t="str">
        <f>HYPERLINK("https://www.pchmayoreo.com/index.php/catalogsearch/result/?q=AU-376574-3", "Ir a sitio web")</f>
        <v>Ir a sitio web</v>
      </c>
    </row>
    <row r="367" spans="1:5" s="3" customFormat="1" ht="33" customHeight="1" x14ac:dyDescent="0.35">
      <c r="A367" s="6" t="s">
        <v>704</v>
      </c>
      <c r="B367" s="7" t="s">
        <v>705</v>
      </c>
      <c r="C367" s="7" t="s">
        <v>1232</v>
      </c>
      <c r="D367" s="7" t="s">
        <v>1285</v>
      </c>
      <c r="E367" s="3" t="str">
        <f>HYPERLINK("https://www.pchmayoreo.com/index.php/catalogsearch/result/?q=AU-363174-23", "Ir a sitio web")</f>
        <v>Ir a sitio web</v>
      </c>
    </row>
    <row r="368" spans="1:5" s="3" customFormat="1" ht="33" customHeight="1" x14ac:dyDescent="0.35">
      <c r="A368" s="6" t="s">
        <v>706</v>
      </c>
      <c r="B368" s="7" t="s">
        <v>707</v>
      </c>
      <c r="C368" s="7" t="s">
        <v>1232</v>
      </c>
      <c r="D368" s="7" t="s">
        <v>1285</v>
      </c>
      <c r="E368" s="3" t="str">
        <f>HYPERLINK("https://www.pchmayoreo.com/index.php/catalogsearch/result/?q=AU-363174-30", "Ir a sitio web")</f>
        <v>Ir a sitio web</v>
      </c>
    </row>
    <row r="369" spans="1:5" s="3" customFormat="1" ht="33" customHeight="1" x14ac:dyDescent="0.35">
      <c r="A369" s="6" t="s">
        <v>708</v>
      </c>
      <c r="B369" s="7" t="s">
        <v>709</v>
      </c>
      <c r="C369" s="7" t="s">
        <v>1232</v>
      </c>
      <c r="D369" s="7" t="s">
        <v>1285</v>
      </c>
      <c r="E369" s="3" t="str">
        <f>HYPERLINK("https://www.pchmayoreo.com/index.php/catalogsearch/result/?q=AU-366574-11", "Ir a sitio web")</f>
        <v>Ir a sitio web</v>
      </c>
    </row>
    <row r="370" spans="1:5" s="3" customFormat="1" ht="33" customHeight="1" x14ac:dyDescent="0.35">
      <c r="A370" s="6" t="s">
        <v>710</v>
      </c>
      <c r="B370" s="7" t="s">
        <v>711</v>
      </c>
      <c r="C370" s="7" t="s">
        <v>1232</v>
      </c>
      <c r="D370" s="7" t="s">
        <v>1285</v>
      </c>
      <c r="E370" s="3" t="str">
        <f>HYPERLINK("https://www.pchmayoreo.com/index.php/catalogsearch/result/?q=AU-376574-2", "Ir a sitio web")</f>
        <v>Ir a sitio web</v>
      </c>
    </row>
    <row r="371" spans="1:5" s="3" customFormat="1" ht="33" customHeight="1" x14ac:dyDescent="0.35">
      <c r="A371" s="6" t="s">
        <v>712</v>
      </c>
      <c r="B371" s="7" t="s">
        <v>713</v>
      </c>
      <c r="C371" s="7" t="s">
        <v>1232</v>
      </c>
      <c r="D371" s="7" t="s">
        <v>1285</v>
      </c>
      <c r="E371" s="3" t="str">
        <f>HYPERLINK("https://www.pchmayoreo.com/index.php/catalogsearch/result/?q=AU-366574-13", "Ir a sitio web")</f>
        <v>Ir a sitio web</v>
      </c>
    </row>
    <row r="372" spans="1:5" s="3" customFormat="1" ht="33" customHeight="1" x14ac:dyDescent="0.35">
      <c r="A372" s="6" t="s">
        <v>714</v>
      </c>
      <c r="B372" s="7" t="s">
        <v>715</v>
      </c>
      <c r="C372" s="7" t="s">
        <v>1232</v>
      </c>
      <c r="D372" s="7" t="s">
        <v>1285</v>
      </c>
      <c r="E372" s="3" t="str">
        <f>HYPERLINK("https://www.pchmayoreo.com/index.php/catalogsearch/result/?q=AU-363174-25", "Ir a sitio web")</f>
        <v>Ir a sitio web</v>
      </c>
    </row>
    <row r="373" spans="1:5" s="3" customFormat="1" ht="33" customHeight="1" x14ac:dyDescent="0.35">
      <c r="A373" s="6" t="s">
        <v>716</v>
      </c>
      <c r="B373" s="7" t="s">
        <v>717</v>
      </c>
      <c r="C373" s="7" t="s">
        <v>1232</v>
      </c>
      <c r="D373" s="7" t="s">
        <v>1285</v>
      </c>
      <c r="E373" s="3" t="str">
        <f>HYPERLINK("https://www.pchmayoreo.com/index.php/catalogsearch/result/?q=AU-366574-12", "Ir a sitio web")</f>
        <v>Ir a sitio web</v>
      </c>
    </row>
    <row r="374" spans="1:5" s="3" customFormat="1" ht="33" customHeight="1" x14ac:dyDescent="0.35">
      <c r="A374" s="6" t="s">
        <v>718</v>
      </c>
      <c r="B374" s="7" t="s">
        <v>719</v>
      </c>
      <c r="C374" s="7" t="s">
        <v>1232</v>
      </c>
      <c r="D374" s="7" t="s">
        <v>1285</v>
      </c>
      <c r="E374" s="3" t="str">
        <f>HYPERLINK("https://www.pchmayoreo.com/index.php/catalogsearch/result/?q=AU-363174-31", "Ir a sitio web")</f>
        <v>Ir a sitio web</v>
      </c>
    </row>
    <row r="375" spans="1:5" s="3" customFormat="1" ht="33" customHeight="1" x14ac:dyDescent="0.35">
      <c r="A375" s="6" t="s">
        <v>720</v>
      </c>
      <c r="B375" s="7" t="s">
        <v>721</v>
      </c>
      <c r="C375" s="7" t="s">
        <v>1232</v>
      </c>
      <c r="D375" s="7" t="s">
        <v>1285</v>
      </c>
      <c r="E375" s="3" t="str">
        <f>HYPERLINK("https://www.pchmayoreo.com/index.php/catalogsearch/result/?q=AU-376574-7", "Ir a sitio web")</f>
        <v>Ir a sitio web</v>
      </c>
    </row>
    <row r="376" spans="1:5" s="3" customFormat="1" ht="33" customHeight="1" x14ac:dyDescent="0.35">
      <c r="A376" s="6" t="s">
        <v>722</v>
      </c>
      <c r="B376" s="7" t="s">
        <v>723</v>
      </c>
      <c r="C376" s="7" t="s">
        <v>1232</v>
      </c>
      <c r="D376" s="7" t="s">
        <v>1286</v>
      </c>
      <c r="E376" s="3" t="str">
        <f>HYPERLINK("https://www.pchmayoreo.com/index.php/catalogsearch/result/?q=AU-367274-6", "Ir a sitio web")</f>
        <v>Ir a sitio web</v>
      </c>
    </row>
    <row r="377" spans="1:5" s="3" customFormat="1" ht="33" customHeight="1" x14ac:dyDescent="0.35">
      <c r="A377" s="6" t="s">
        <v>724</v>
      </c>
      <c r="B377" s="7" t="s">
        <v>725</v>
      </c>
      <c r="C377" s="7" t="s">
        <v>1232</v>
      </c>
      <c r="D377" s="7" t="s">
        <v>1286</v>
      </c>
      <c r="E377" s="3" t="str">
        <f>HYPERLINK("https://www.pchmayoreo.com/index.php/catalogsearch/result/?q=AU-367274-5", "Ir a sitio web")</f>
        <v>Ir a sitio web</v>
      </c>
    </row>
    <row r="378" spans="1:5" s="3" customFormat="1" ht="33" customHeight="1" x14ac:dyDescent="0.35">
      <c r="A378" s="6" t="s">
        <v>726</v>
      </c>
      <c r="B378" s="7" t="s">
        <v>727</v>
      </c>
      <c r="C378" s="7" t="s">
        <v>1232</v>
      </c>
      <c r="D378" s="7" t="s">
        <v>1286</v>
      </c>
      <c r="E378" s="3" t="str">
        <f>HYPERLINK("https://www.pchmayoreo.com/index.php/catalogsearch/result/?q=AU-367274-2", "Ir a sitio web")</f>
        <v>Ir a sitio web</v>
      </c>
    </row>
    <row r="379" spans="1:5" s="3" customFormat="1" ht="33" customHeight="1" x14ac:dyDescent="0.35">
      <c r="A379" s="6" t="s">
        <v>728</v>
      </c>
      <c r="B379" s="7" t="s">
        <v>729</v>
      </c>
      <c r="C379" s="7" t="s">
        <v>1232</v>
      </c>
      <c r="D379" s="7" t="s">
        <v>1286</v>
      </c>
      <c r="E379" s="3" t="str">
        <f>HYPERLINK("https://www.pchmayoreo.com/index.php/catalogsearch/result/?q=AU-367278-5", "Ir a sitio web")</f>
        <v>Ir a sitio web</v>
      </c>
    </row>
    <row r="380" spans="1:5" s="3" customFormat="1" ht="33" customHeight="1" x14ac:dyDescent="0.35">
      <c r="A380" s="6" t="s">
        <v>730</v>
      </c>
      <c r="B380" s="7" t="s">
        <v>731</v>
      </c>
      <c r="C380" s="7" t="s">
        <v>1232</v>
      </c>
      <c r="D380" s="7" t="s">
        <v>1286</v>
      </c>
      <c r="E380" s="3" t="str">
        <f>HYPERLINK("https://www.pchmayoreo.com/index.php/catalogsearch/result/?q=AU-367274-3", "Ir a sitio web")</f>
        <v>Ir a sitio web</v>
      </c>
    </row>
    <row r="381" spans="1:5" s="3" customFormat="1" ht="33" customHeight="1" x14ac:dyDescent="0.35">
      <c r="A381" s="6" t="s">
        <v>732</v>
      </c>
      <c r="B381" s="7" t="s">
        <v>733</v>
      </c>
      <c r="C381" s="7" t="s">
        <v>1232</v>
      </c>
      <c r="D381" s="7" t="s">
        <v>1287</v>
      </c>
      <c r="E381" s="3" t="str">
        <f>HYPERLINK("https://www.pchmayoreo.com/index.php/catalogsearch/result/?q=AU-365074-49", "Ir a sitio web")</f>
        <v>Ir a sitio web</v>
      </c>
    </row>
    <row r="382" spans="1:5" s="3" customFormat="1" ht="33" customHeight="1" x14ac:dyDescent="0.35">
      <c r="A382" s="6" t="s">
        <v>734</v>
      </c>
      <c r="B382" s="7" t="s">
        <v>735</v>
      </c>
      <c r="C382" s="7" t="s">
        <v>1215</v>
      </c>
      <c r="D382" s="7" t="s">
        <v>1288</v>
      </c>
      <c r="E382" s="3" t="str">
        <f>HYPERLINK("https://www.pchmayoreo.com/index.php/catalogsearch/result/?q=AC-487012-18", "Ir a sitio web")</f>
        <v>Ir a sitio web</v>
      </c>
    </row>
    <row r="383" spans="1:5" s="3" customFormat="1" ht="33" customHeight="1" x14ac:dyDescent="0.35">
      <c r="A383" s="6" t="s">
        <v>736</v>
      </c>
      <c r="B383" s="7" t="s">
        <v>737</v>
      </c>
      <c r="C383" s="7" t="s">
        <v>1215</v>
      </c>
      <c r="D383" s="7" t="s">
        <v>1288</v>
      </c>
      <c r="E383" s="3" t="str">
        <f>HYPERLINK("https://www.pchmayoreo.com/index.php/catalogsearch/result/?q=AC-487012-17", "Ir a sitio web")</f>
        <v>Ir a sitio web</v>
      </c>
    </row>
    <row r="384" spans="1:5" s="3" customFormat="1" ht="33" customHeight="1" x14ac:dyDescent="0.35">
      <c r="A384" s="6" t="s">
        <v>738</v>
      </c>
      <c r="B384" s="7" t="s">
        <v>739</v>
      </c>
      <c r="C384" s="7" t="s">
        <v>1215</v>
      </c>
      <c r="D384" s="7" t="s">
        <v>1288</v>
      </c>
      <c r="E384" s="3" t="str">
        <f>HYPERLINK("https://www.pchmayoreo.com/index.php/catalogsearch/result/?q=AC-487012-15", "Ir a sitio web")</f>
        <v>Ir a sitio web</v>
      </c>
    </row>
    <row r="385" spans="1:5" s="3" customFormat="1" ht="33" customHeight="1" x14ac:dyDescent="0.35">
      <c r="A385" s="6" t="s">
        <v>740</v>
      </c>
      <c r="B385" s="7" t="s">
        <v>741</v>
      </c>
      <c r="C385" s="7" t="s">
        <v>1215</v>
      </c>
      <c r="D385" s="7" t="s">
        <v>1288</v>
      </c>
      <c r="E385" s="3" t="str">
        <f>HYPERLINK("https://www.pchmayoreo.com/index.php/catalogsearch/result/?q=AC-487012-16", "Ir a sitio web")</f>
        <v>Ir a sitio web</v>
      </c>
    </row>
    <row r="386" spans="1:5" s="3" customFormat="1" ht="33" customHeight="1" x14ac:dyDescent="0.35">
      <c r="A386" s="6" t="s">
        <v>742</v>
      </c>
      <c r="B386" s="7" t="s">
        <v>743</v>
      </c>
      <c r="C386" s="7" t="s">
        <v>1215</v>
      </c>
      <c r="D386" s="7" t="s">
        <v>1288</v>
      </c>
      <c r="E386" s="3" t="str">
        <f>HYPERLINK("https://www.pchmayoreo.com/index.php/catalogsearch/result/?q=AC-487012-10", "Ir a sitio web")</f>
        <v>Ir a sitio web</v>
      </c>
    </row>
    <row r="387" spans="1:5" s="3" customFormat="1" ht="33" customHeight="1" x14ac:dyDescent="0.35">
      <c r="A387" s="6" t="s">
        <v>744</v>
      </c>
      <c r="B387" s="7" t="s">
        <v>745</v>
      </c>
      <c r="C387" s="7" t="s">
        <v>1215</v>
      </c>
      <c r="D387" s="7" t="s">
        <v>1288</v>
      </c>
      <c r="E387" s="3" t="str">
        <f>HYPERLINK("https://www.pchmayoreo.com/index.php/catalogsearch/result/?q=AC-487012-19", "Ir a sitio web")</f>
        <v>Ir a sitio web</v>
      </c>
    </row>
    <row r="388" spans="1:5" s="3" customFormat="1" ht="33" customHeight="1" x14ac:dyDescent="0.35">
      <c r="A388" s="6" t="s">
        <v>746</v>
      </c>
      <c r="B388" s="7" t="s">
        <v>747</v>
      </c>
      <c r="C388" s="7" t="s">
        <v>1232</v>
      </c>
      <c r="D388" s="7" t="s">
        <v>1288</v>
      </c>
      <c r="E388" s="3" t="str">
        <f>HYPERLINK("https://www.pchmayoreo.com/index.php/catalogsearch/result/?q=AU-363172-37", "Ir a sitio web")</f>
        <v>Ir a sitio web</v>
      </c>
    </row>
    <row r="389" spans="1:5" s="3" customFormat="1" ht="33" customHeight="1" x14ac:dyDescent="0.35">
      <c r="A389" s="6" t="s">
        <v>748</v>
      </c>
      <c r="B389" s="7" t="s">
        <v>749</v>
      </c>
      <c r="C389" s="7" t="s">
        <v>1215</v>
      </c>
      <c r="D389" s="7" t="s">
        <v>1288</v>
      </c>
      <c r="E389" s="3" t="str">
        <f>HYPERLINK("https://www.pchmayoreo.com/index.php/catalogsearch/result/?q=AC-487078-1", "Ir a sitio web")</f>
        <v>Ir a sitio web</v>
      </c>
    </row>
    <row r="390" spans="1:5" s="3" customFormat="1" ht="33" customHeight="1" x14ac:dyDescent="0.35">
      <c r="A390" s="6" t="s">
        <v>750</v>
      </c>
      <c r="B390" s="7" t="s">
        <v>751</v>
      </c>
      <c r="C390" s="7" t="s">
        <v>1215</v>
      </c>
      <c r="D390" s="7" t="s">
        <v>1288</v>
      </c>
      <c r="E390" s="3" t="str">
        <f>HYPERLINK("https://www.pchmayoreo.com/index.php/catalogsearch/result/?q=AC-487012-13", "Ir a sitio web")</f>
        <v>Ir a sitio web</v>
      </c>
    </row>
    <row r="391" spans="1:5" s="3" customFormat="1" ht="33" customHeight="1" x14ac:dyDescent="0.35">
      <c r="A391" s="6" t="s">
        <v>752</v>
      </c>
      <c r="B391" s="7" t="s">
        <v>753</v>
      </c>
      <c r="C391" s="7" t="s">
        <v>1270</v>
      </c>
      <c r="D391" s="7" t="s">
        <v>1288</v>
      </c>
      <c r="E391" s="3" t="str">
        <f>HYPERLINK("https://www.pchmayoreo.com/index.php/catalogsearch/result/?q=TE-347074-5", "Ir a sitio web")</f>
        <v>Ir a sitio web</v>
      </c>
    </row>
    <row r="392" spans="1:5" s="3" customFormat="1" ht="33" customHeight="1" x14ac:dyDescent="0.35">
      <c r="A392" s="6" t="s">
        <v>754</v>
      </c>
      <c r="B392" s="7" t="s">
        <v>755</v>
      </c>
      <c r="C392" s="7" t="s">
        <v>1232</v>
      </c>
      <c r="D392" s="7" t="s">
        <v>1288</v>
      </c>
      <c r="E392" s="3" t="str">
        <f>HYPERLINK("https://www.pchmayoreo.com/index.php/catalogsearch/result/?q=AU-363174-46", "Ir a sitio web")</f>
        <v>Ir a sitio web</v>
      </c>
    </row>
    <row r="393" spans="1:5" s="3" customFormat="1" ht="33" customHeight="1" x14ac:dyDescent="0.35">
      <c r="A393" s="6" t="s">
        <v>756</v>
      </c>
      <c r="B393" s="7" t="s">
        <v>757</v>
      </c>
      <c r="C393" s="7" t="s">
        <v>1232</v>
      </c>
      <c r="D393" s="7" t="s">
        <v>1288</v>
      </c>
      <c r="E393" s="3" t="str">
        <f>HYPERLINK("https://www.pchmayoreo.com/index.php/catalogsearch/result/?q=AU-363174-44", "Ir a sitio web")</f>
        <v>Ir a sitio web</v>
      </c>
    </row>
    <row r="394" spans="1:5" s="3" customFormat="1" ht="33" customHeight="1" x14ac:dyDescent="0.35">
      <c r="A394" s="6" t="s">
        <v>758</v>
      </c>
      <c r="B394" s="7" t="s">
        <v>759</v>
      </c>
      <c r="C394" s="7" t="s">
        <v>1215</v>
      </c>
      <c r="D394" s="7" t="s">
        <v>1288</v>
      </c>
      <c r="E394" s="3" t="str">
        <f>HYPERLINK("https://www.pchmayoreo.com/index.php/catalogsearch/result/?q=AC-487012-8", "Ir a sitio web")</f>
        <v>Ir a sitio web</v>
      </c>
    </row>
    <row r="395" spans="1:5" s="3" customFormat="1" ht="33" customHeight="1" x14ac:dyDescent="0.35">
      <c r="A395" s="6" t="s">
        <v>760</v>
      </c>
      <c r="B395" s="7" t="s">
        <v>761</v>
      </c>
      <c r="C395" s="7" t="s">
        <v>1215</v>
      </c>
      <c r="D395" s="7" t="s">
        <v>1288</v>
      </c>
      <c r="E395" s="3" t="str">
        <f>HYPERLINK("https://www.pchmayoreo.com/index.php/catalogsearch/result/?q=AC-567012-1", "Ir a sitio web")</f>
        <v>Ir a sitio web</v>
      </c>
    </row>
    <row r="396" spans="1:5" s="3" customFormat="1" ht="33" customHeight="1" x14ac:dyDescent="0.35">
      <c r="A396" s="6" t="s">
        <v>762</v>
      </c>
      <c r="B396" s="7" t="s">
        <v>763</v>
      </c>
      <c r="C396" s="7" t="s">
        <v>1232</v>
      </c>
      <c r="D396" s="7" t="s">
        <v>1288</v>
      </c>
      <c r="E396" s="3" t="str">
        <f>HYPERLINK("https://www.pchmayoreo.com/index.php/catalogsearch/result/?q=AU-363174-45", "Ir a sitio web")</f>
        <v>Ir a sitio web</v>
      </c>
    </row>
    <row r="397" spans="1:5" s="3" customFormat="1" ht="33" customHeight="1" x14ac:dyDescent="0.35">
      <c r="A397" s="6" t="s">
        <v>764</v>
      </c>
      <c r="B397" s="7" t="s">
        <v>765</v>
      </c>
      <c r="C397" s="7" t="s">
        <v>1215</v>
      </c>
      <c r="D397" s="7" t="s">
        <v>1288</v>
      </c>
      <c r="E397" s="3" t="str">
        <f>HYPERLINK("https://www.pchmayoreo.com/index.php/catalogsearch/result/?q=AC-487012-14", "Ir a sitio web")</f>
        <v>Ir a sitio web</v>
      </c>
    </row>
    <row r="398" spans="1:5" s="3" customFormat="1" ht="33" customHeight="1" x14ac:dyDescent="0.35">
      <c r="A398" s="6" t="s">
        <v>766</v>
      </c>
      <c r="B398" s="7" t="s">
        <v>767</v>
      </c>
      <c r="C398" s="7" t="s">
        <v>1215</v>
      </c>
      <c r="D398" s="7" t="s">
        <v>1288</v>
      </c>
      <c r="E398" s="3" t="str">
        <f>HYPERLINK("https://www.pchmayoreo.com/index.php/catalogsearch/result/?q=AC-487012-6", "Ir a sitio web")</f>
        <v>Ir a sitio web</v>
      </c>
    </row>
    <row r="399" spans="1:5" s="3" customFormat="1" ht="33" customHeight="1" x14ac:dyDescent="0.35">
      <c r="A399" s="6" t="s">
        <v>768</v>
      </c>
      <c r="B399" s="7" t="s">
        <v>769</v>
      </c>
      <c r="C399" s="7" t="s">
        <v>1232</v>
      </c>
      <c r="D399" s="7" t="s">
        <v>1288</v>
      </c>
      <c r="E399" s="3" t="str">
        <f>HYPERLINK("https://www.pchmayoreo.com/index.php/catalogsearch/result/?q=AU-363174-47", "Ir a sitio web")</f>
        <v>Ir a sitio web</v>
      </c>
    </row>
    <row r="400" spans="1:5" s="3" customFormat="1" ht="33" customHeight="1" x14ac:dyDescent="0.35">
      <c r="A400" s="6" t="s">
        <v>770</v>
      </c>
      <c r="B400" s="7" t="s">
        <v>771</v>
      </c>
      <c r="C400" s="7" t="s">
        <v>1215</v>
      </c>
      <c r="D400" s="7" t="s">
        <v>1288</v>
      </c>
      <c r="E400" s="3" t="str">
        <f>HYPERLINK("https://www.pchmayoreo.com/index.php/catalogsearch/result/?q=AC-487012-5", "Ir a sitio web")</f>
        <v>Ir a sitio web</v>
      </c>
    </row>
    <row r="401" spans="1:5" s="3" customFormat="1" ht="33" customHeight="1" x14ac:dyDescent="0.35">
      <c r="A401" s="6" t="s">
        <v>772</v>
      </c>
      <c r="B401" s="7" t="s">
        <v>773</v>
      </c>
      <c r="C401" s="7" t="s">
        <v>1232</v>
      </c>
      <c r="D401" s="7" t="s">
        <v>1288</v>
      </c>
      <c r="E401" s="3" t="str">
        <f>HYPERLINK("https://www.pchmayoreo.com/index.php/catalogsearch/result/?q=AU-363172-19", "Ir a sitio web")</f>
        <v>Ir a sitio web</v>
      </c>
    </row>
    <row r="402" spans="1:5" s="3" customFormat="1" ht="33" customHeight="1" x14ac:dyDescent="0.35">
      <c r="A402" s="6" t="s">
        <v>774</v>
      </c>
      <c r="B402" s="7" t="s">
        <v>775</v>
      </c>
      <c r="C402" s="7" t="s">
        <v>1215</v>
      </c>
      <c r="D402" s="7" t="s">
        <v>1288</v>
      </c>
      <c r="E402" s="3" t="str">
        <f>HYPERLINK("https://www.pchmayoreo.com/index.php/catalogsearch/result/?q=AC-487012-3", "Ir a sitio web")</f>
        <v>Ir a sitio web</v>
      </c>
    </row>
    <row r="403" spans="1:5" s="3" customFormat="1" ht="33" customHeight="1" x14ac:dyDescent="0.35">
      <c r="A403" s="6" t="s">
        <v>776</v>
      </c>
      <c r="B403" s="7" t="s">
        <v>777</v>
      </c>
      <c r="C403" s="7" t="s">
        <v>1232</v>
      </c>
      <c r="D403" s="7" t="s">
        <v>1288</v>
      </c>
      <c r="E403" s="3" t="str">
        <f>HYPERLINK("https://www.pchmayoreo.com/index.php/catalogsearch/result/?q=AU-363172-30", "Ir a sitio web")</f>
        <v>Ir a sitio web</v>
      </c>
    </row>
    <row r="404" spans="1:5" s="3" customFormat="1" ht="33" customHeight="1" x14ac:dyDescent="0.35">
      <c r="A404" s="6" t="s">
        <v>778</v>
      </c>
      <c r="B404" s="7" t="s">
        <v>779</v>
      </c>
      <c r="C404" s="7" t="s">
        <v>1270</v>
      </c>
      <c r="D404" s="7" t="s">
        <v>1288</v>
      </c>
      <c r="E404" s="3" t="str">
        <f>HYPERLINK("https://www.pchmayoreo.com/index.php/catalogsearch/result/?q=TE-347074-4", "Ir a sitio web")</f>
        <v>Ir a sitio web</v>
      </c>
    </row>
    <row r="405" spans="1:5" s="3" customFormat="1" ht="33" customHeight="1" x14ac:dyDescent="0.35">
      <c r="A405" s="6" t="s">
        <v>780</v>
      </c>
      <c r="B405" s="7" t="s">
        <v>781</v>
      </c>
      <c r="C405" s="7" t="s">
        <v>1232</v>
      </c>
      <c r="D405" s="7" t="s">
        <v>1288</v>
      </c>
      <c r="E405" s="3" t="str">
        <f>HYPERLINK("https://www.pchmayoreo.com/index.php/catalogsearch/result/?q=AU-363174-37", "Ir a sitio web")</f>
        <v>Ir a sitio web</v>
      </c>
    </row>
    <row r="406" spans="1:5" s="3" customFormat="1" ht="33" customHeight="1" x14ac:dyDescent="0.35">
      <c r="A406" s="6" t="s">
        <v>782</v>
      </c>
      <c r="B406" s="7" t="s">
        <v>783</v>
      </c>
      <c r="C406" s="7" t="s">
        <v>1232</v>
      </c>
      <c r="D406" s="7" t="s">
        <v>1289</v>
      </c>
      <c r="E406" s="3" t="str">
        <f>HYPERLINK("https://www.pchmayoreo.com/index.php/catalogsearch/result/?q=AU-566232-10", "Ir a sitio web")</f>
        <v>Ir a sitio web</v>
      </c>
    </row>
    <row r="407" spans="1:5" s="3" customFormat="1" ht="33" customHeight="1" x14ac:dyDescent="0.35">
      <c r="A407" s="6" t="s">
        <v>784</v>
      </c>
      <c r="B407" s="7" t="s">
        <v>785</v>
      </c>
      <c r="C407" s="7" t="s">
        <v>1232</v>
      </c>
      <c r="D407" s="7" t="s">
        <v>1290</v>
      </c>
      <c r="E407" s="3" t="str">
        <f>HYPERLINK("https://www.pchmayoreo.com/index.php/catalogsearch/result/?q=AU-366574-15", "Ir a sitio web")</f>
        <v>Ir a sitio web</v>
      </c>
    </row>
    <row r="408" spans="1:5" s="3" customFormat="1" ht="33" customHeight="1" x14ac:dyDescent="0.35">
      <c r="A408" s="6" t="s">
        <v>786</v>
      </c>
      <c r="B408" s="7" t="s">
        <v>787</v>
      </c>
      <c r="C408" s="7" t="s">
        <v>1215</v>
      </c>
      <c r="D408" s="7" t="s">
        <v>1290</v>
      </c>
      <c r="E408" s="3" t="str">
        <f>HYPERLINK("https://www.pchmayoreo.com/index.php/catalogsearch/result/?q=AC-426579-1", "Ir a sitio web")</f>
        <v>Ir a sitio web</v>
      </c>
    </row>
    <row r="409" spans="1:5" s="3" customFormat="1" ht="33" customHeight="1" x14ac:dyDescent="0.35">
      <c r="A409" s="6" t="s">
        <v>788</v>
      </c>
      <c r="B409" s="7" t="s">
        <v>789</v>
      </c>
      <c r="C409" s="7" t="s">
        <v>1232</v>
      </c>
      <c r="D409" s="7" t="s">
        <v>1290</v>
      </c>
      <c r="E409" s="3" t="str">
        <f>HYPERLINK("https://www.pchmayoreo.com/index.php/catalogsearch/result/?q=AU-366572-2", "Ir a sitio web")</f>
        <v>Ir a sitio web</v>
      </c>
    </row>
    <row r="410" spans="1:5" s="3" customFormat="1" ht="33" customHeight="1" x14ac:dyDescent="0.35">
      <c r="A410" s="6" t="s">
        <v>790</v>
      </c>
      <c r="B410" s="7" t="s">
        <v>791</v>
      </c>
      <c r="C410" s="7" t="s">
        <v>1232</v>
      </c>
      <c r="D410" s="7" t="s">
        <v>1290</v>
      </c>
      <c r="E410" s="3" t="str">
        <f>HYPERLINK("https://www.pchmayoreo.com/index.php/catalogsearch/result/?q=AU-376572-1", "Ir a sitio web")</f>
        <v>Ir a sitio web</v>
      </c>
    </row>
    <row r="411" spans="1:5" s="3" customFormat="1" ht="33" customHeight="1" x14ac:dyDescent="0.35">
      <c r="A411" s="6" t="s">
        <v>792</v>
      </c>
      <c r="B411" s="7" t="s">
        <v>793</v>
      </c>
      <c r="C411" s="7" t="s">
        <v>1215</v>
      </c>
      <c r="D411" s="7" t="s">
        <v>1291</v>
      </c>
      <c r="E411" s="3" t="str">
        <f>HYPERLINK("https://www.pchmayoreo.com/index.php/catalogsearch/result/?q=AC-443173-2", "Ir a sitio web")</f>
        <v>Ir a sitio web</v>
      </c>
    </row>
    <row r="412" spans="1:5" s="3" customFormat="1" ht="33" customHeight="1" x14ac:dyDescent="0.35">
      <c r="A412" s="6" t="s">
        <v>794</v>
      </c>
      <c r="B412" s="7" t="s">
        <v>795</v>
      </c>
      <c r="C412" s="7" t="s">
        <v>1232</v>
      </c>
      <c r="D412" s="7" t="s">
        <v>1292</v>
      </c>
      <c r="E412" s="3" t="str">
        <f>HYPERLINK("https://www.pchmayoreo.com/index.php/catalogsearch/result/?q=AC-483674-1", "Ir a sitio web")</f>
        <v>Ir a sitio web</v>
      </c>
    </row>
    <row r="413" spans="1:5" s="3" customFormat="1" ht="33" customHeight="1" x14ac:dyDescent="0.35">
      <c r="A413" s="6" t="s">
        <v>796</v>
      </c>
      <c r="B413" s="7" t="s">
        <v>797</v>
      </c>
      <c r="C413" s="7" t="s">
        <v>1293</v>
      </c>
      <c r="D413" s="7" t="s">
        <v>1294</v>
      </c>
      <c r="E413" s="3" t="str">
        <f>HYPERLINK("https://www.pchmayoreo.com/index.php/catalogsearch/result/?q=UG-686112-2", "Ir a sitio web")</f>
        <v>Ir a sitio web</v>
      </c>
    </row>
    <row r="414" spans="1:5" s="3" customFormat="1" ht="33" customHeight="1" x14ac:dyDescent="0.35">
      <c r="A414" s="6" t="s">
        <v>798</v>
      </c>
      <c r="B414" s="7" t="s">
        <v>799</v>
      </c>
      <c r="C414" s="7" t="s">
        <v>1293</v>
      </c>
      <c r="D414" s="7" t="s">
        <v>1294</v>
      </c>
      <c r="E414" s="3" t="str">
        <f>HYPERLINK("https://www.pchmayoreo.com/index.php/catalogsearch/result/?q=GA-389619-1", "Ir a sitio web")</f>
        <v>Ir a sitio web</v>
      </c>
    </row>
    <row r="415" spans="1:5" s="3" customFormat="1" ht="33" customHeight="1" x14ac:dyDescent="0.35">
      <c r="A415" s="6" t="s">
        <v>800</v>
      </c>
      <c r="B415" s="7" t="s">
        <v>801</v>
      </c>
      <c r="C415" s="7" t="s">
        <v>1232</v>
      </c>
      <c r="D415" s="7" t="s">
        <v>1295</v>
      </c>
      <c r="E415" s="3" t="str">
        <f>HYPERLINK("https://www.pchmayoreo.com/index.php/catalogsearch/result/?q=AU-365874-5", "Ir a sitio web")</f>
        <v>Ir a sitio web</v>
      </c>
    </row>
    <row r="416" spans="1:5" s="3" customFormat="1" ht="33" customHeight="1" x14ac:dyDescent="0.35">
      <c r="A416" s="6" t="s">
        <v>802</v>
      </c>
      <c r="B416" s="7" t="s">
        <v>803</v>
      </c>
      <c r="C416" s="7" t="s">
        <v>1215</v>
      </c>
      <c r="D416" s="7" t="s">
        <v>1295</v>
      </c>
      <c r="E416" s="3" t="str">
        <f>HYPERLINK("https://www.pchmayoreo.com/index.php/catalogsearch/result/?q=AC-415874-8", "Ir a sitio web")</f>
        <v>Ir a sitio web</v>
      </c>
    </row>
    <row r="417" spans="1:5" s="3" customFormat="1" ht="33" customHeight="1" x14ac:dyDescent="0.35">
      <c r="A417" s="6" t="s">
        <v>804</v>
      </c>
      <c r="B417" s="7" t="s">
        <v>805</v>
      </c>
      <c r="C417" s="7" t="s">
        <v>1215</v>
      </c>
      <c r="D417" s="7" t="s">
        <v>1295</v>
      </c>
      <c r="E417" s="3" t="str">
        <f>HYPERLINK("https://www.pchmayoreo.com/index.php/catalogsearch/result/?q=AC-415811-6", "Ir a sitio web")</f>
        <v>Ir a sitio web</v>
      </c>
    </row>
    <row r="418" spans="1:5" s="3" customFormat="1" ht="33" customHeight="1" x14ac:dyDescent="0.35">
      <c r="A418" s="6" t="s">
        <v>806</v>
      </c>
      <c r="B418" s="7" t="s">
        <v>807</v>
      </c>
      <c r="C418" s="7" t="s">
        <v>1232</v>
      </c>
      <c r="D418" s="7" t="s">
        <v>1295</v>
      </c>
      <c r="E418" s="3" t="str">
        <f>HYPERLINK("https://www.pchmayoreo.com/index.php/catalogsearch/result/?q=AU-365874-11", "Ir a sitio web")</f>
        <v>Ir a sitio web</v>
      </c>
    </row>
    <row r="419" spans="1:5" s="3" customFormat="1" ht="33" customHeight="1" x14ac:dyDescent="0.35">
      <c r="A419" s="6" t="s">
        <v>808</v>
      </c>
      <c r="B419" s="7" t="s">
        <v>809</v>
      </c>
      <c r="C419" s="7" t="s">
        <v>1270</v>
      </c>
      <c r="D419" s="7" t="s">
        <v>1295</v>
      </c>
      <c r="E419" s="3" t="str">
        <f>HYPERLINK("https://www.pchmayoreo.com/index.php/catalogsearch/result/?q=AC-345874-2", "Ir a sitio web")</f>
        <v>Ir a sitio web</v>
      </c>
    </row>
    <row r="420" spans="1:5" s="3" customFormat="1" ht="33" customHeight="1" x14ac:dyDescent="0.35">
      <c r="A420" s="6" t="s">
        <v>810</v>
      </c>
      <c r="B420" s="7" t="s">
        <v>811</v>
      </c>
      <c r="C420" s="7" t="s">
        <v>1215</v>
      </c>
      <c r="D420" s="7" t="s">
        <v>1295</v>
      </c>
      <c r="E420" s="3" t="str">
        <f>HYPERLINK("https://www.pchmayoreo.com/index.php/catalogsearch/result/?q=AC-51216104-37", "Ir a sitio web")</f>
        <v>Ir a sitio web</v>
      </c>
    </row>
    <row r="421" spans="1:5" s="3" customFormat="1" ht="33" customHeight="1" x14ac:dyDescent="0.35">
      <c r="A421" s="6" t="s">
        <v>812</v>
      </c>
      <c r="B421" s="7" t="s">
        <v>813</v>
      </c>
      <c r="C421" s="7" t="s">
        <v>1215</v>
      </c>
      <c r="D421" s="7" t="s">
        <v>1295</v>
      </c>
      <c r="E421" s="3" t="str">
        <f>HYPERLINK("https://www.pchmayoreo.com/index.php/catalogsearch/result/?q=AC-415874-5", "Ir a sitio web")</f>
        <v>Ir a sitio web</v>
      </c>
    </row>
    <row r="422" spans="1:5" s="3" customFormat="1" ht="33" customHeight="1" x14ac:dyDescent="0.35">
      <c r="A422" s="6" t="s">
        <v>814</v>
      </c>
      <c r="B422" s="7" t="s">
        <v>815</v>
      </c>
      <c r="C422" s="7" t="s">
        <v>1232</v>
      </c>
      <c r="D422" s="7" t="s">
        <v>1295</v>
      </c>
      <c r="E422" s="3" t="str">
        <f>HYPERLINK("https://www.pchmayoreo.com/index.php/catalogsearch/result/?q=AU-365874-24", "Ir a sitio web")</f>
        <v>Ir a sitio web</v>
      </c>
    </row>
    <row r="423" spans="1:5" s="3" customFormat="1" ht="33" customHeight="1" x14ac:dyDescent="0.35">
      <c r="A423" s="6" t="s">
        <v>816</v>
      </c>
      <c r="B423" s="7" t="s">
        <v>817</v>
      </c>
      <c r="C423" s="7" t="s">
        <v>1232</v>
      </c>
      <c r="D423" s="7" t="s">
        <v>1295</v>
      </c>
      <c r="E423" s="3" t="str">
        <f>HYPERLINK("https://www.pchmayoreo.com/index.php/catalogsearch/result/?q=AU-365874-10", "Ir a sitio web")</f>
        <v>Ir a sitio web</v>
      </c>
    </row>
    <row r="424" spans="1:5" s="3" customFormat="1" ht="33" customHeight="1" x14ac:dyDescent="0.35">
      <c r="A424" s="6" t="s">
        <v>818</v>
      </c>
      <c r="B424" s="7" t="s">
        <v>819</v>
      </c>
      <c r="C424" s="7" t="s">
        <v>1215</v>
      </c>
      <c r="D424" s="7" t="s">
        <v>1295</v>
      </c>
      <c r="E424" s="3" t="str">
        <f>HYPERLINK("https://www.pchmayoreo.com/index.php/catalogsearch/result/?q=AC-415874-4", "Ir a sitio web")</f>
        <v>Ir a sitio web</v>
      </c>
    </row>
    <row r="425" spans="1:5" s="3" customFormat="1" ht="33" customHeight="1" x14ac:dyDescent="0.35">
      <c r="A425" s="6" t="s">
        <v>820</v>
      </c>
      <c r="B425" s="7" t="s">
        <v>821</v>
      </c>
      <c r="C425" s="7" t="s">
        <v>1232</v>
      </c>
      <c r="D425" s="7" t="s">
        <v>1295</v>
      </c>
      <c r="E425" s="3" t="str">
        <f>HYPERLINK("https://www.pchmayoreo.com/index.php/catalogsearch/result/?q=AU-378585-4", "Ir a sitio web")</f>
        <v>Ir a sitio web</v>
      </c>
    </row>
    <row r="426" spans="1:5" s="3" customFormat="1" ht="33" customHeight="1" x14ac:dyDescent="0.35">
      <c r="A426" s="6" t="s">
        <v>822</v>
      </c>
      <c r="B426" s="7" t="s">
        <v>823</v>
      </c>
      <c r="C426" s="7" t="s">
        <v>1232</v>
      </c>
      <c r="D426" s="7" t="s">
        <v>1295</v>
      </c>
      <c r="E426" s="3" t="str">
        <f>HYPERLINK("https://www.pchmayoreo.com/index.php/catalogsearch/result/?q=AU-375874-2", "Ir a sitio web")</f>
        <v>Ir a sitio web</v>
      </c>
    </row>
    <row r="427" spans="1:5" s="3" customFormat="1" ht="33" customHeight="1" x14ac:dyDescent="0.35">
      <c r="A427" s="6" t="s">
        <v>824</v>
      </c>
      <c r="B427" s="7" t="s">
        <v>825</v>
      </c>
      <c r="C427" s="7" t="s">
        <v>1215</v>
      </c>
      <c r="D427" s="7" t="s">
        <v>1295</v>
      </c>
      <c r="E427" s="3" t="str">
        <f>HYPERLINK("https://www.pchmayoreo.com/index.php/catalogsearch/result/?q=AC-485812-2", "Ir a sitio web")</f>
        <v>Ir a sitio web</v>
      </c>
    </row>
    <row r="428" spans="1:5" s="3" customFormat="1" ht="33" customHeight="1" x14ac:dyDescent="0.35">
      <c r="A428" s="6" t="s">
        <v>826</v>
      </c>
      <c r="B428" s="7" t="s">
        <v>827</v>
      </c>
      <c r="C428" s="7" t="s">
        <v>1232</v>
      </c>
      <c r="D428" s="7" t="s">
        <v>1295</v>
      </c>
      <c r="E428" s="3" t="str">
        <f>HYPERLINK("https://www.pchmayoreo.com/index.php/catalogsearch/result/?q=AU-365874-26", "Ir a sitio web")</f>
        <v>Ir a sitio web</v>
      </c>
    </row>
    <row r="429" spans="1:5" s="3" customFormat="1" ht="33" customHeight="1" x14ac:dyDescent="0.35">
      <c r="A429" s="6" t="s">
        <v>828</v>
      </c>
      <c r="B429" s="7" t="s">
        <v>829</v>
      </c>
      <c r="C429" s="7" t="s">
        <v>1215</v>
      </c>
      <c r="D429" s="7" t="s">
        <v>1295</v>
      </c>
      <c r="E429" s="3" t="str">
        <f>HYPERLINK("https://www.pchmayoreo.com/index.php/catalogsearch/result/?q=AC-387585-1", "Ir a sitio web")</f>
        <v>Ir a sitio web</v>
      </c>
    </row>
    <row r="430" spans="1:5" s="3" customFormat="1" ht="33" customHeight="1" x14ac:dyDescent="0.35">
      <c r="A430" s="6" t="s">
        <v>830</v>
      </c>
      <c r="B430" s="7" t="s">
        <v>831</v>
      </c>
      <c r="C430" s="7" t="s">
        <v>1232</v>
      </c>
      <c r="D430" s="7" t="s">
        <v>1295</v>
      </c>
      <c r="E430" s="3" t="str">
        <f>HYPERLINK("https://www.pchmayoreo.com/index.php/catalogsearch/result/?q=AU-655814-1", "Ir a sitio web")</f>
        <v>Ir a sitio web</v>
      </c>
    </row>
    <row r="431" spans="1:5" s="3" customFormat="1" ht="33" customHeight="1" x14ac:dyDescent="0.35">
      <c r="A431" s="6" t="s">
        <v>832</v>
      </c>
      <c r="B431" s="7" t="s">
        <v>833</v>
      </c>
      <c r="C431" s="7" t="s">
        <v>1232</v>
      </c>
      <c r="D431" s="7" t="s">
        <v>1295</v>
      </c>
      <c r="E431" s="3" t="str">
        <f>HYPERLINK("https://www.pchmayoreo.com/index.php/catalogsearch/result/?q=AU-365872-3", "Ir a sitio web")</f>
        <v>Ir a sitio web</v>
      </c>
    </row>
    <row r="432" spans="1:5" s="3" customFormat="1" ht="33" customHeight="1" x14ac:dyDescent="0.35">
      <c r="A432" s="6" t="s">
        <v>834</v>
      </c>
      <c r="B432" s="7" t="s">
        <v>835</v>
      </c>
      <c r="C432" s="7" t="s">
        <v>1215</v>
      </c>
      <c r="D432" s="7" t="s">
        <v>1295</v>
      </c>
      <c r="E432" s="3" t="str">
        <f>HYPERLINK("https://www.pchmayoreo.com/index.php/catalogsearch/result/?q=AC-415873-7", "Ir a sitio web")</f>
        <v>Ir a sitio web</v>
      </c>
    </row>
    <row r="433" spans="1:5" s="3" customFormat="1" ht="33" customHeight="1" x14ac:dyDescent="0.35">
      <c r="A433" s="6" t="s">
        <v>836</v>
      </c>
      <c r="B433" s="7" t="s">
        <v>837</v>
      </c>
      <c r="C433" s="7" t="s">
        <v>1232</v>
      </c>
      <c r="D433" s="7" t="s">
        <v>1295</v>
      </c>
      <c r="E433" s="3" t="str">
        <f>HYPERLINK("https://www.pchmayoreo.com/index.php/catalogsearch/result/?q=AU-365874-2", "Ir a sitio web")</f>
        <v>Ir a sitio web</v>
      </c>
    </row>
    <row r="434" spans="1:5" s="3" customFormat="1" ht="33" customHeight="1" x14ac:dyDescent="0.35">
      <c r="A434" s="6" t="s">
        <v>838</v>
      </c>
      <c r="B434" s="7" t="s">
        <v>839</v>
      </c>
      <c r="C434" s="7" t="s">
        <v>1215</v>
      </c>
      <c r="D434" s="7" t="s">
        <v>1295</v>
      </c>
      <c r="E434" s="3" t="str">
        <f>HYPERLINK("https://www.pchmayoreo.com/index.php/catalogsearch/result/?q=AC-345896-2", "Ir a sitio web")</f>
        <v>Ir a sitio web</v>
      </c>
    </row>
    <row r="435" spans="1:5" s="3" customFormat="1" ht="33" customHeight="1" x14ac:dyDescent="0.35">
      <c r="A435" s="6" t="s">
        <v>840</v>
      </c>
      <c r="B435" s="7" t="s">
        <v>841</v>
      </c>
      <c r="C435" s="7" t="s">
        <v>1232</v>
      </c>
      <c r="D435" s="7" t="s">
        <v>1295</v>
      </c>
      <c r="E435" s="3" t="str">
        <f>HYPERLINK("https://www.pchmayoreo.com/index.php/catalogsearch/result/?q=AU-365872-8", "Ir a sitio web")</f>
        <v>Ir a sitio web</v>
      </c>
    </row>
    <row r="436" spans="1:5" s="3" customFormat="1" ht="33" customHeight="1" x14ac:dyDescent="0.35">
      <c r="A436" s="6" t="s">
        <v>842</v>
      </c>
      <c r="B436" s="7" t="s">
        <v>843</v>
      </c>
      <c r="C436" s="7" t="s">
        <v>1215</v>
      </c>
      <c r="D436" s="7" t="s">
        <v>1295</v>
      </c>
      <c r="E436" s="3" t="str">
        <f>HYPERLINK("https://www.pchmayoreo.com/index.php/catalogsearch/result/?q=AC-345896-8", "Ir a sitio web")</f>
        <v>Ir a sitio web</v>
      </c>
    </row>
    <row r="437" spans="1:5" s="3" customFormat="1" ht="33" customHeight="1" x14ac:dyDescent="0.35">
      <c r="A437" s="6" t="s">
        <v>844</v>
      </c>
      <c r="B437" s="7" t="s">
        <v>845</v>
      </c>
      <c r="C437" s="7" t="s">
        <v>1215</v>
      </c>
      <c r="D437" s="7" t="s">
        <v>1295</v>
      </c>
      <c r="E437" s="3" t="str">
        <f>HYPERLINK("https://www.pchmayoreo.com/index.php/catalogsearch/result/?q=AC-387585-3", "Ir a sitio web")</f>
        <v>Ir a sitio web</v>
      </c>
    </row>
    <row r="438" spans="1:5" s="3" customFormat="1" ht="33" customHeight="1" x14ac:dyDescent="0.35">
      <c r="A438" s="6" t="s">
        <v>846</v>
      </c>
      <c r="B438" s="7" t="s">
        <v>847</v>
      </c>
      <c r="C438" s="7" t="s">
        <v>1215</v>
      </c>
      <c r="D438" s="7" t="s">
        <v>1295</v>
      </c>
      <c r="E438" s="3" t="str">
        <f>HYPERLINK("https://www.pchmayoreo.com/index.php/catalogsearch/result/?q=AC-485896-5", "Ir a sitio web")</f>
        <v>Ir a sitio web</v>
      </c>
    </row>
    <row r="439" spans="1:5" s="3" customFormat="1" ht="33" customHeight="1" x14ac:dyDescent="0.35">
      <c r="A439" s="6" t="s">
        <v>848</v>
      </c>
      <c r="B439" s="7" t="s">
        <v>849</v>
      </c>
      <c r="C439" s="7" t="s">
        <v>1215</v>
      </c>
      <c r="D439" s="7" t="s">
        <v>1295</v>
      </c>
      <c r="E439" s="3" t="str">
        <f>HYPERLINK("https://www.pchmayoreo.com/index.php/catalogsearch/result/?q=AC-412585-9", "Ir a sitio web")</f>
        <v>Ir a sitio web</v>
      </c>
    </row>
    <row r="440" spans="1:5" s="3" customFormat="1" ht="33" customHeight="1" x14ac:dyDescent="0.35">
      <c r="A440" s="6" t="s">
        <v>850</v>
      </c>
      <c r="B440" s="7" t="s">
        <v>851</v>
      </c>
      <c r="C440" s="7" t="s">
        <v>1232</v>
      </c>
      <c r="D440" s="7" t="s">
        <v>1295</v>
      </c>
      <c r="E440" s="3" t="str">
        <f>HYPERLINK("https://www.pchmayoreo.com/index.php/catalogsearch/result/?q=AU-378585-6", "Ir a sitio web")</f>
        <v>Ir a sitio web</v>
      </c>
    </row>
    <row r="441" spans="1:5" s="3" customFormat="1" ht="33" customHeight="1" x14ac:dyDescent="0.35">
      <c r="A441" s="6" t="s">
        <v>852</v>
      </c>
      <c r="B441" s="7" t="s">
        <v>853</v>
      </c>
      <c r="C441" s="7" t="s">
        <v>1215</v>
      </c>
      <c r="D441" s="7" t="s">
        <v>1295</v>
      </c>
      <c r="E441" s="3" t="str">
        <f>HYPERLINK("https://www.pchmayoreo.com/index.php/catalogsearch/result/?q=AC-345896-3", "Ir a sitio web")</f>
        <v>Ir a sitio web</v>
      </c>
    </row>
    <row r="442" spans="1:5" s="3" customFormat="1" ht="33" customHeight="1" x14ac:dyDescent="0.35">
      <c r="A442" s="6" t="s">
        <v>854</v>
      </c>
      <c r="B442" s="7" t="s">
        <v>855</v>
      </c>
      <c r="C442" s="7" t="s">
        <v>1232</v>
      </c>
      <c r="D442" s="7" t="s">
        <v>1295</v>
      </c>
      <c r="E442" s="3" t="str">
        <f>HYPERLINK("https://www.pchmayoreo.com/index.php/catalogsearch/result/?q=AC-365896-2", "Ir a sitio web")</f>
        <v>Ir a sitio web</v>
      </c>
    </row>
    <row r="443" spans="1:5" s="3" customFormat="1" ht="33" customHeight="1" x14ac:dyDescent="0.35">
      <c r="A443" s="6" t="s">
        <v>856</v>
      </c>
      <c r="B443" s="7" t="s">
        <v>857</v>
      </c>
      <c r="C443" s="7" t="s">
        <v>1215</v>
      </c>
      <c r="D443" s="7" t="s">
        <v>1295</v>
      </c>
      <c r="E443" s="3" t="str">
        <f>HYPERLINK("https://www.pchmayoreo.com/index.php/catalogsearch/result/?q=AC-345896-9", "Ir a sitio web")</f>
        <v>Ir a sitio web</v>
      </c>
    </row>
    <row r="444" spans="1:5" s="3" customFormat="1" ht="33" customHeight="1" x14ac:dyDescent="0.35">
      <c r="A444" s="6" t="s">
        <v>858</v>
      </c>
      <c r="B444" s="7" t="s">
        <v>859</v>
      </c>
      <c r="C444" s="7" t="s">
        <v>1215</v>
      </c>
      <c r="D444" s="7" t="s">
        <v>1295</v>
      </c>
      <c r="E444" s="3" t="str">
        <f>HYPERLINK("https://www.pchmayoreo.com/index.php/catalogsearch/result/?q=AC-415880-1", "Ir a sitio web")</f>
        <v>Ir a sitio web</v>
      </c>
    </row>
    <row r="445" spans="1:5" s="3" customFormat="1" ht="33" customHeight="1" x14ac:dyDescent="0.35">
      <c r="A445" s="6" t="s">
        <v>860</v>
      </c>
      <c r="B445" s="7" t="s">
        <v>861</v>
      </c>
      <c r="C445" s="7" t="s">
        <v>1232</v>
      </c>
      <c r="D445" s="7" t="s">
        <v>1295</v>
      </c>
      <c r="E445" s="3" t="str">
        <f>HYPERLINK("https://www.pchmayoreo.com/index.php/catalogsearch/result/?q=AU-365872-5", "Ir a sitio web")</f>
        <v>Ir a sitio web</v>
      </c>
    </row>
    <row r="446" spans="1:5" s="3" customFormat="1" ht="33" customHeight="1" x14ac:dyDescent="0.35">
      <c r="A446" s="6" t="s">
        <v>862</v>
      </c>
      <c r="B446" s="7" t="s">
        <v>863</v>
      </c>
      <c r="C446" s="7" t="s">
        <v>1215</v>
      </c>
      <c r="D446" s="7" t="s">
        <v>1295</v>
      </c>
      <c r="E446" s="3" t="str">
        <f>HYPERLINK("https://www.pchmayoreo.com/index.php/catalogsearch/result/?q=AC-415873-5", "Ir a sitio web")</f>
        <v>Ir a sitio web</v>
      </c>
    </row>
    <row r="447" spans="1:5" s="3" customFormat="1" ht="33" customHeight="1" x14ac:dyDescent="0.35">
      <c r="A447" s="6" t="s">
        <v>864</v>
      </c>
      <c r="B447" s="7" t="s">
        <v>865</v>
      </c>
      <c r="C447" s="7" t="s">
        <v>1215</v>
      </c>
      <c r="D447" s="7" t="s">
        <v>1295</v>
      </c>
      <c r="E447" s="3" t="str">
        <f>HYPERLINK("https://www.pchmayoreo.com/index.php/catalogsearch/result/?q=AC-387585-4", "Ir a sitio web")</f>
        <v>Ir a sitio web</v>
      </c>
    </row>
    <row r="448" spans="1:5" s="3" customFormat="1" ht="33" customHeight="1" x14ac:dyDescent="0.35">
      <c r="A448" s="6" t="s">
        <v>866</v>
      </c>
      <c r="B448" s="7" t="s">
        <v>867</v>
      </c>
      <c r="C448" s="7" t="s">
        <v>1215</v>
      </c>
      <c r="D448" s="7" t="s">
        <v>1295</v>
      </c>
      <c r="E448" s="3" t="str">
        <f>HYPERLINK("https://www.pchmayoreo.com/index.php/catalogsearch/result/?q=AC-485812-4", "Ir a sitio web")</f>
        <v>Ir a sitio web</v>
      </c>
    </row>
    <row r="449" spans="1:5" s="3" customFormat="1" ht="33" customHeight="1" x14ac:dyDescent="0.35">
      <c r="A449" s="6" t="s">
        <v>868</v>
      </c>
      <c r="B449" s="7" t="s">
        <v>869</v>
      </c>
      <c r="C449" s="7" t="s">
        <v>1215</v>
      </c>
      <c r="D449" s="7" t="s">
        <v>1295</v>
      </c>
      <c r="E449" s="3" t="str">
        <f>HYPERLINK("https://www.pchmayoreo.com/index.php/catalogsearch/result/?q=AC-349585-5", "Ir a sitio web")</f>
        <v>Ir a sitio web</v>
      </c>
    </row>
    <row r="450" spans="1:5" s="3" customFormat="1" ht="33" customHeight="1" x14ac:dyDescent="0.35">
      <c r="A450" s="6" t="s">
        <v>870</v>
      </c>
      <c r="B450" s="7" t="s">
        <v>871</v>
      </c>
      <c r="C450" s="7" t="s">
        <v>1215</v>
      </c>
      <c r="D450" s="7" t="s">
        <v>1295</v>
      </c>
      <c r="E450" s="3" t="str">
        <f>HYPERLINK("https://www.pchmayoreo.com/index.php/catalogsearch/result/?q=AC-387585-6", "Ir a sitio web")</f>
        <v>Ir a sitio web</v>
      </c>
    </row>
    <row r="451" spans="1:5" s="3" customFormat="1" ht="33" customHeight="1" x14ac:dyDescent="0.35">
      <c r="A451" s="6" t="s">
        <v>872</v>
      </c>
      <c r="B451" s="7" t="s">
        <v>873</v>
      </c>
      <c r="C451" s="7" t="s">
        <v>1215</v>
      </c>
      <c r="D451" s="7" t="s">
        <v>1295</v>
      </c>
      <c r="E451" s="3" t="str">
        <f>HYPERLINK("https://www.pchmayoreo.com/index.php/catalogsearch/result/?q=AC-51216104-14", "Ir a sitio web")</f>
        <v>Ir a sitio web</v>
      </c>
    </row>
    <row r="452" spans="1:5" s="3" customFormat="1" ht="33" customHeight="1" x14ac:dyDescent="0.35">
      <c r="A452" s="6" t="s">
        <v>874</v>
      </c>
      <c r="B452" s="7" t="s">
        <v>875</v>
      </c>
      <c r="C452" s="7" t="s">
        <v>1215</v>
      </c>
      <c r="D452" s="7" t="s">
        <v>1295</v>
      </c>
      <c r="E452" s="3" t="str">
        <f>HYPERLINK("https://www.pchmayoreo.com/index.php/catalogsearch/result/?q=AC-950663-18", "Ir a sitio web")</f>
        <v>Ir a sitio web</v>
      </c>
    </row>
    <row r="453" spans="1:5" s="3" customFormat="1" ht="33" customHeight="1" x14ac:dyDescent="0.35">
      <c r="A453" s="6" t="s">
        <v>876</v>
      </c>
      <c r="B453" s="7" t="s">
        <v>877</v>
      </c>
      <c r="C453" s="7" t="s">
        <v>1215</v>
      </c>
      <c r="D453" s="7" t="s">
        <v>1295</v>
      </c>
      <c r="E453" s="3" t="str">
        <f>HYPERLINK("https://www.pchmayoreo.com/index.php/catalogsearch/result/?q=AC-345896-1", "Ir a sitio web")</f>
        <v>Ir a sitio web</v>
      </c>
    </row>
    <row r="454" spans="1:5" s="3" customFormat="1" ht="33" customHeight="1" x14ac:dyDescent="0.35">
      <c r="A454" s="6" t="s">
        <v>878</v>
      </c>
      <c r="B454" s="7" t="s">
        <v>879</v>
      </c>
      <c r="C454" s="7" t="s">
        <v>1232</v>
      </c>
      <c r="D454" s="7" t="s">
        <v>1295</v>
      </c>
      <c r="E454" s="3" t="str">
        <f>HYPERLINK("https://www.pchmayoreo.com/index.php/catalogsearch/result/?q=AU-365585-3", "Ir a sitio web")</f>
        <v>Ir a sitio web</v>
      </c>
    </row>
    <row r="455" spans="1:5" s="3" customFormat="1" ht="33" customHeight="1" x14ac:dyDescent="0.35">
      <c r="A455" s="6" t="s">
        <v>880</v>
      </c>
      <c r="B455" s="7" t="s">
        <v>881</v>
      </c>
      <c r="C455" s="7" t="s">
        <v>1232</v>
      </c>
      <c r="D455" s="7" t="s">
        <v>1295</v>
      </c>
      <c r="E455" s="3" t="str">
        <f>HYPERLINK("https://www.pchmayoreo.com/index.php/catalogsearch/result/?q=AU-365585-14", "Ir a sitio web")</f>
        <v>Ir a sitio web</v>
      </c>
    </row>
    <row r="456" spans="1:5" s="3" customFormat="1" ht="33" customHeight="1" x14ac:dyDescent="0.35">
      <c r="A456" s="6" t="s">
        <v>882</v>
      </c>
      <c r="B456" s="7" t="s">
        <v>883</v>
      </c>
      <c r="C456" s="7" t="s">
        <v>1215</v>
      </c>
      <c r="D456" s="7" t="s">
        <v>1295</v>
      </c>
      <c r="E456" s="3" t="str">
        <f>HYPERLINK("https://www.pchmayoreo.com/index.php/catalogsearch/result/?q=AC-485898-8", "Ir a sitio web")</f>
        <v>Ir a sitio web</v>
      </c>
    </row>
    <row r="457" spans="1:5" s="3" customFormat="1" ht="33" customHeight="1" x14ac:dyDescent="0.35">
      <c r="A457" s="6" t="s">
        <v>884</v>
      </c>
      <c r="B457" s="7" t="s">
        <v>885</v>
      </c>
      <c r="C457" s="7" t="s">
        <v>1215</v>
      </c>
      <c r="D457" s="7" t="s">
        <v>1295</v>
      </c>
      <c r="E457" s="3" t="str">
        <f>HYPERLINK("https://www.pchmayoreo.com/index.php/catalogsearch/result/?q=AC-353585-6", "Ir a sitio web")</f>
        <v>Ir a sitio web</v>
      </c>
    </row>
    <row r="458" spans="1:5" s="3" customFormat="1" ht="33" customHeight="1" x14ac:dyDescent="0.35">
      <c r="A458" s="6" t="s">
        <v>886</v>
      </c>
      <c r="B458" s="7" t="s">
        <v>887</v>
      </c>
      <c r="C458" s="7" t="s">
        <v>1215</v>
      </c>
      <c r="D458" s="7" t="s">
        <v>1295</v>
      </c>
      <c r="E458" s="3" t="str">
        <f>HYPERLINK("https://www.pchmayoreo.com/index.php/catalogsearch/result/?q=AC-387585-5", "Ir a sitio web")</f>
        <v>Ir a sitio web</v>
      </c>
    </row>
    <row r="459" spans="1:5" s="3" customFormat="1" ht="33" customHeight="1" x14ac:dyDescent="0.35">
      <c r="A459" s="6" t="s">
        <v>888</v>
      </c>
      <c r="B459" s="7" t="s">
        <v>889</v>
      </c>
      <c r="C459" s="7" t="s">
        <v>1215</v>
      </c>
      <c r="D459" s="7" t="s">
        <v>1295</v>
      </c>
      <c r="E459" s="3" t="str">
        <f>HYPERLINK("https://www.pchmayoreo.com/index.php/catalogsearch/result/?q=TE-50216104-2", "Ir a sitio web")</f>
        <v>Ir a sitio web</v>
      </c>
    </row>
    <row r="460" spans="1:5" s="3" customFormat="1" ht="33" customHeight="1" x14ac:dyDescent="0.35">
      <c r="A460" s="6" t="s">
        <v>890</v>
      </c>
      <c r="B460" s="7" t="s">
        <v>891</v>
      </c>
      <c r="C460" s="7" t="s">
        <v>1270</v>
      </c>
      <c r="D460" s="7" t="s">
        <v>1295</v>
      </c>
      <c r="E460" s="3" t="str">
        <f>HYPERLINK("https://www.pchmayoreo.com/index.php/catalogsearch/result/?q=AC-425896-3", "Ir a sitio web")</f>
        <v>Ir a sitio web</v>
      </c>
    </row>
    <row r="461" spans="1:5" s="3" customFormat="1" ht="33" customHeight="1" x14ac:dyDescent="0.35">
      <c r="A461" s="6" t="s">
        <v>892</v>
      </c>
      <c r="B461" s="7" t="s">
        <v>893</v>
      </c>
      <c r="C461" s="7" t="s">
        <v>1270</v>
      </c>
      <c r="D461" s="7" t="s">
        <v>1295</v>
      </c>
      <c r="E461" s="3" t="str">
        <f>HYPERLINK("https://www.pchmayoreo.com/index.php/catalogsearch/result/?q=AC-425896-1", "Ir a sitio web")</f>
        <v>Ir a sitio web</v>
      </c>
    </row>
    <row r="462" spans="1:5" s="3" customFormat="1" ht="33" customHeight="1" x14ac:dyDescent="0.35">
      <c r="A462" s="6" t="s">
        <v>894</v>
      </c>
      <c r="B462" s="7" t="s">
        <v>895</v>
      </c>
      <c r="C462" s="7" t="s">
        <v>1215</v>
      </c>
      <c r="D462" s="7" t="s">
        <v>1295</v>
      </c>
      <c r="E462" s="3" t="str">
        <f>HYPERLINK("https://www.pchmayoreo.com/index.php/catalogsearch/result/?q=AC-385891-2", "Ir a sitio web")</f>
        <v>Ir a sitio web</v>
      </c>
    </row>
    <row r="463" spans="1:5" s="3" customFormat="1" ht="33" customHeight="1" x14ac:dyDescent="0.35">
      <c r="A463" s="6" t="s">
        <v>896</v>
      </c>
      <c r="B463" s="7" t="s">
        <v>897</v>
      </c>
      <c r="C463" s="7" t="s">
        <v>1215</v>
      </c>
      <c r="D463" s="7" t="s">
        <v>1295</v>
      </c>
      <c r="E463" s="3" t="str">
        <f>HYPERLINK("https://www.pchmayoreo.com/index.php/catalogsearch/result/?q=AC-485812-25", "Ir a sitio web")</f>
        <v>Ir a sitio web</v>
      </c>
    </row>
    <row r="464" spans="1:5" s="3" customFormat="1" ht="33" customHeight="1" x14ac:dyDescent="0.35">
      <c r="A464" s="6" t="s">
        <v>898</v>
      </c>
      <c r="B464" s="7" t="s">
        <v>899</v>
      </c>
      <c r="C464" s="7" t="s">
        <v>1215</v>
      </c>
      <c r="D464" s="7" t="s">
        <v>1295</v>
      </c>
      <c r="E464" s="3" t="str">
        <f>HYPERLINK("https://www.pchmayoreo.com/index.php/catalogsearch/result/?q=AC-485812-24", "Ir a sitio web")</f>
        <v>Ir a sitio web</v>
      </c>
    </row>
    <row r="465" spans="1:5" s="3" customFormat="1" ht="33" customHeight="1" x14ac:dyDescent="0.35">
      <c r="A465" s="6" t="s">
        <v>900</v>
      </c>
      <c r="B465" s="7" t="s">
        <v>901</v>
      </c>
      <c r="C465" s="7" t="s">
        <v>1215</v>
      </c>
      <c r="D465" s="7" t="s">
        <v>1295</v>
      </c>
      <c r="E465" s="3" t="str">
        <f>HYPERLINK("https://www.pchmayoreo.com/index.php/catalogsearch/result/?q=LI-58216485-1", "Ir a sitio web")</f>
        <v>Ir a sitio web</v>
      </c>
    </row>
    <row r="466" spans="1:5" s="3" customFormat="1" ht="33" customHeight="1" x14ac:dyDescent="0.35">
      <c r="A466" s="6" t="s">
        <v>902</v>
      </c>
      <c r="B466" s="7" t="s">
        <v>903</v>
      </c>
      <c r="C466" s="7" t="s">
        <v>1215</v>
      </c>
      <c r="D466" s="7" t="s">
        <v>1295</v>
      </c>
      <c r="E466" s="3" t="str">
        <f>HYPERLINK("https://www.pchmayoreo.com/index.php/catalogsearch/result/?q=AC-485810-3", "Ir a sitio web")</f>
        <v>Ir a sitio web</v>
      </c>
    </row>
    <row r="467" spans="1:5" s="3" customFormat="1" ht="33" customHeight="1" x14ac:dyDescent="0.35">
      <c r="A467" s="6" t="s">
        <v>904</v>
      </c>
      <c r="B467" s="7" t="s">
        <v>905</v>
      </c>
      <c r="C467" s="7" t="s">
        <v>1232</v>
      </c>
      <c r="D467" s="7" t="s">
        <v>1296</v>
      </c>
      <c r="E467" s="3" t="str">
        <f>HYPERLINK("https://www.pchmayoreo.com/index.php/catalogsearch/result/?q=AU-364174-1", "Ir a sitio web")</f>
        <v>Ir a sitio web</v>
      </c>
    </row>
    <row r="468" spans="1:5" s="3" customFormat="1" ht="33" customHeight="1" x14ac:dyDescent="0.35">
      <c r="A468" s="6" t="s">
        <v>906</v>
      </c>
      <c r="B468" s="7" t="s">
        <v>907</v>
      </c>
      <c r="C468" s="7" t="s">
        <v>1232</v>
      </c>
      <c r="D468" s="7" t="s">
        <v>1296</v>
      </c>
      <c r="E468" s="3" t="str">
        <f>HYPERLINK("https://www.pchmayoreo.com/index.php/catalogsearch/result/?q=AU-367174-7", "Ir a sitio web")</f>
        <v>Ir a sitio web</v>
      </c>
    </row>
    <row r="469" spans="1:5" s="3" customFormat="1" ht="33" customHeight="1" x14ac:dyDescent="0.35">
      <c r="A469" s="6" t="s">
        <v>908</v>
      </c>
      <c r="B469" s="7" t="s">
        <v>909</v>
      </c>
      <c r="C469" s="7" t="s">
        <v>1232</v>
      </c>
      <c r="D469" s="7" t="s">
        <v>1296</v>
      </c>
      <c r="E469" s="3" t="str">
        <f>HYPERLINK("https://www.pchmayoreo.com/index.php/catalogsearch/result/?q=AU-367174-17", "Ir a sitio web")</f>
        <v>Ir a sitio web</v>
      </c>
    </row>
    <row r="470" spans="1:5" s="3" customFormat="1" ht="33" customHeight="1" x14ac:dyDescent="0.35">
      <c r="A470" s="6" t="s">
        <v>910</v>
      </c>
      <c r="B470" s="7" t="s">
        <v>911</v>
      </c>
      <c r="C470" s="7" t="s">
        <v>1232</v>
      </c>
      <c r="D470" s="7" t="s">
        <v>1296</v>
      </c>
      <c r="E470" s="3" t="str">
        <f>HYPERLINK("https://www.pchmayoreo.com/index.php/catalogsearch/result/?q=AU-367174-12", "Ir a sitio web")</f>
        <v>Ir a sitio web</v>
      </c>
    </row>
    <row r="471" spans="1:5" s="3" customFormat="1" ht="33" customHeight="1" x14ac:dyDescent="0.35">
      <c r="A471" s="6" t="s">
        <v>912</v>
      </c>
      <c r="B471" s="7" t="s">
        <v>913</v>
      </c>
      <c r="C471" s="7" t="s">
        <v>1232</v>
      </c>
      <c r="D471" s="7" t="s">
        <v>1296</v>
      </c>
      <c r="E471" s="3" t="str">
        <f>HYPERLINK("https://www.pchmayoreo.com/index.php/catalogsearch/result/?q=AU-367174-15", "Ir a sitio web")</f>
        <v>Ir a sitio web</v>
      </c>
    </row>
    <row r="472" spans="1:5" s="3" customFormat="1" ht="33" customHeight="1" x14ac:dyDescent="0.35">
      <c r="A472" s="6" t="s">
        <v>914</v>
      </c>
      <c r="B472" s="7" t="s">
        <v>915</v>
      </c>
      <c r="C472" s="7" t="s">
        <v>1232</v>
      </c>
      <c r="D472" s="7" t="s">
        <v>1296</v>
      </c>
      <c r="E472" s="3" t="str">
        <f>HYPERLINK("https://www.pchmayoreo.com/index.php/catalogsearch/result/?q=AU-367174-4", "Ir a sitio web")</f>
        <v>Ir a sitio web</v>
      </c>
    </row>
    <row r="473" spans="1:5" s="3" customFormat="1" ht="33" customHeight="1" x14ac:dyDescent="0.35">
      <c r="A473" s="6" t="s">
        <v>916</v>
      </c>
      <c r="B473" s="7" t="s">
        <v>917</v>
      </c>
      <c r="C473" s="7" t="s">
        <v>1215</v>
      </c>
      <c r="D473" s="7" t="s">
        <v>1296</v>
      </c>
      <c r="E473" s="3" t="str">
        <f>HYPERLINK("https://www.pchmayoreo.com/index.php/catalogsearch/result/?q=AC-487115-2", "Ir a sitio web")</f>
        <v>Ir a sitio web</v>
      </c>
    </row>
    <row r="474" spans="1:5" s="3" customFormat="1" ht="33" customHeight="1" x14ac:dyDescent="0.35">
      <c r="A474" s="6" t="s">
        <v>918</v>
      </c>
      <c r="B474" s="7" t="s">
        <v>919</v>
      </c>
      <c r="C474" s="7" t="s">
        <v>1232</v>
      </c>
      <c r="D474" s="7" t="s">
        <v>1296</v>
      </c>
      <c r="E474" s="3" t="str">
        <f>HYPERLINK("https://www.pchmayoreo.com/index.php/catalogsearch/result/?q=AU-367171-2", "Ir a sitio web")</f>
        <v>Ir a sitio web</v>
      </c>
    </row>
    <row r="475" spans="1:5" s="3" customFormat="1" ht="33" customHeight="1" x14ac:dyDescent="0.35">
      <c r="A475" s="6" t="s">
        <v>920</v>
      </c>
      <c r="B475" s="7" t="s">
        <v>921</v>
      </c>
      <c r="C475" s="7" t="s">
        <v>1215</v>
      </c>
      <c r="D475" s="7" t="s">
        <v>1296</v>
      </c>
      <c r="E475" s="3" t="str">
        <f>HYPERLINK("https://www.pchmayoreo.com/index.php/catalogsearch/result/?q=AC-487113-1", "Ir a sitio web")</f>
        <v>Ir a sitio web</v>
      </c>
    </row>
    <row r="476" spans="1:5" s="3" customFormat="1" ht="33" customHeight="1" x14ac:dyDescent="0.35">
      <c r="A476" s="6" t="s">
        <v>922</v>
      </c>
      <c r="B476" s="7" t="s">
        <v>923</v>
      </c>
      <c r="C476" s="7" t="s">
        <v>1232</v>
      </c>
      <c r="D476" s="7" t="s">
        <v>1296</v>
      </c>
      <c r="E476" s="3" t="str">
        <f>HYPERLINK("https://www.pchmayoreo.com/index.php/catalogsearch/result/?q=AU-367174-13", "Ir a sitio web")</f>
        <v>Ir a sitio web</v>
      </c>
    </row>
    <row r="477" spans="1:5" s="3" customFormat="1" ht="33" customHeight="1" x14ac:dyDescent="0.35">
      <c r="A477" s="6" t="s">
        <v>924</v>
      </c>
      <c r="B477" s="7" t="s">
        <v>925</v>
      </c>
      <c r="C477" s="7" t="s">
        <v>1232</v>
      </c>
      <c r="D477" s="7" t="s">
        <v>1296</v>
      </c>
      <c r="E477" s="3" t="str">
        <f>HYPERLINK("https://www.pchmayoreo.com/index.php/catalogsearch/result/?q=AU-377174-5", "Ir a sitio web")</f>
        <v>Ir a sitio web</v>
      </c>
    </row>
    <row r="478" spans="1:5" s="3" customFormat="1" ht="33" customHeight="1" x14ac:dyDescent="0.35">
      <c r="A478" s="6" t="s">
        <v>926</v>
      </c>
      <c r="B478" s="7" t="s">
        <v>927</v>
      </c>
      <c r="C478" s="7" t="s">
        <v>1232</v>
      </c>
      <c r="D478" s="7" t="s">
        <v>1296</v>
      </c>
      <c r="E478" s="3" t="str">
        <f>HYPERLINK("https://www.pchmayoreo.com/index.php/catalogsearch/result/?q=AU-367174-10", "Ir a sitio web")</f>
        <v>Ir a sitio web</v>
      </c>
    </row>
    <row r="479" spans="1:5" s="3" customFormat="1" ht="33" customHeight="1" x14ac:dyDescent="0.35">
      <c r="A479" s="6" t="s">
        <v>928</v>
      </c>
      <c r="B479" s="7" t="s">
        <v>929</v>
      </c>
      <c r="C479" s="7" t="s">
        <v>1232</v>
      </c>
      <c r="D479" s="7" t="s">
        <v>1296</v>
      </c>
      <c r="E479" s="3" t="str">
        <f>HYPERLINK("https://www.pchmayoreo.com/index.php/catalogsearch/result/?q=AU-367174-6", "Ir a sitio web")</f>
        <v>Ir a sitio web</v>
      </c>
    </row>
    <row r="480" spans="1:5" s="3" customFormat="1" ht="33" customHeight="1" x14ac:dyDescent="0.35">
      <c r="A480" s="6" t="s">
        <v>930</v>
      </c>
      <c r="B480" s="7" t="s">
        <v>931</v>
      </c>
      <c r="C480" s="7" t="s">
        <v>1232</v>
      </c>
      <c r="D480" s="7" t="s">
        <v>1296</v>
      </c>
      <c r="E480" s="3" t="str">
        <f>HYPERLINK("https://www.pchmayoreo.com/index.php/catalogsearch/result/?q=AU-367174-11", "Ir a sitio web")</f>
        <v>Ir a sitio web</v>
      </c>
    </row>
    <row r="481" spans="1:5" s="3" customFormat="1" ht="33" customHeight="1" x14ac:dyDescent="0.35">
      <c r="A481" s="6" t="s">
        <v>932</v>
      </c>
      <c r="B481" s="7" t="s">
        <v>933</v>
      </c>
      <c r="C481" s="7" t="s">
        <v>1232</v>
      </c>
      <c r="D481" s="7" t="s">
        <v>1296</v>
      </c>
      <c r="E481" s="3" t="str">
        <f>HYPERLINK("https://www.pchmayoreo.com/index.php/catalogsearch/result/?q=AU-367174-5", "Ir a sitio web")</f>
        <v>Ir a sitio web</v>
      </c>
    </row>
    <row r="482" spans="1:5" s="3" customFormat="1" ht="33" customHeight="1" x14ac:dyDescent="0.35">
      <c r="A482" s="6" t="s">
        <v>934</v>
      </c>
      <c r="B482" s="7" t="s">
        <v>935</v>
      </c>
      <c r="C482" s="7" t="s">
        <v>1215</v>
      </c>
      <c r="D482" s="7" t="s">
        <v>1296</v>
      </c>
      <c r="E482" s="3" t="str">
        <f>HYPERLINK("https://www.pchmayoreo.com/index.php/catalogsearch/result/?q=AC-487115-1", "Ir a sitio web")</f>
        <v>Ir a sitio web</v>
      </c>
    </row>
    <row r="483" spans="1:5" s="3" customFormat="1" ht="33" customHeight="1" x14ac:dyDescent="0.35">
      <c r="A483" s="6" t="s">
        <v>936</v>
      </c>
      <c r="B483" s="7" t="s">
        <v>937</v>
      </c>
      <c r="C483" s="7" t="s">
        <v>1256</v>
      </c>
      <c r="D483" s="7" t="s">
        <v>1296</v>
      </c>
      <c r="E483" s="3" t="str">
        <f>HYPERLINK("https://www.pchmayoreo.com/index.php/catalogsearch/result/?q=EN-567178-1", "Ir a sitio web")</f>
        <v>Ir a sitio web</v>
      </c>
    </row>
    <row r="484" spans="1:5" s="3" customFormat="1" ht="33" customHeight="1" x14ac:dyDescent="0.35">
      <c r="A484" s="6" t="s">
        <v>938</v>
      </c>
      <c r="B484" s="7" t="s">
        <v>939</v>
      </c>
      <c r="C484" s="7" t="s">
        <v>1232</v>
      </c>
      <c r="D484" s="7" t="s">
        <v>1296</v>
      </c>
      <c r="E484" s="3" t="str">
        <f>HYPERLINK("https://www.pchmayoreo.com/index.php/catalogsearch/result/?q=AU-367174-2", "Ir a sitio web")</f>
        <v>Ir a sitio web</v>
      </c>
    </row>
    <row r="485" spans="1:5" s="3" customFormat="1" ht="33" customHeight="1" x14ac:dyDescent="0.35">
      <c r="A485" s="6" t="s">
        <v>940</v>
      </c>
      <c r="B485" s="7" t="s">
        <v>941</v>
      </c>
      <c r="C485" s="7" t="s">
        <v>1232</v>
      </c>
      <c r="D485" s="7" t="s">
        <v>1296</v>
      </c>
      <c r="E485" s="3" t="str">
        <f>HYPERLINK("https://www.pchmayoreo.com/index.php/catalogsearch/result/?q=AU-367174-1", "Ir a sitio web")</f>
        <v>Ir a sitio web</v>
      </c>
    </row>
    <row r="486" spans="1:5" s="3" customFormat="1" ht="33" customHeight="1" x14ac:dyDescent="0.35">
      <c r="A486" s="6" t="s">
        <v>942</v>
      </c>
      <c r="B486" s="7" t="s">
        <v>943</v>
      </c>
      <c r="C486" s="7" t="s">
        <v>1215</v>
      </c>
      <c r="D486" s="7" t="s">
        <v>1296</v>
      </c>
      <c r="E486" s="3" t="str">
        <f>HYPERLINK("https://www.pchmayoreo.com/index.php/catalogsearch/result/?q=AC-417174-1", "Ir a sitio web")</f>
        <v>Ir a sitio web</v>
      </c>
    </row>
    <row r="487" spans="1:5" s="3" customFormat="1" ht="33" customHeight="1" x14ac:dyDescent="0.35">
      <c r="A487" s="6" t="s">
        <v>944</v>
      </c>
      <c r="B487" s="7" t="s">
        <v>945</v>
      </c>
      <c r="C487" s="7" t="s">
        <v>1232</v>
      </c>
      <c r="D487" s="7" t="s">
        <v>1296</v>
      </c>
      <c r="E487" s="3" t="str">
        <f>HYPERLINK("https://www.pchmayoreo.com/index.php/catalogsearch/result/?q=AU-367174-18", "Ir a sitio web")</f>
        <v>Ir a sitio web</v>
      </c>
    </row>
    <row r="488" spans="1:5" s="3" customFormat="1" ht="33" customHeight="1" x14ac:dyDescent="0.35">
      <c r="A488" s="6" t="s">
        <v>946</v>
      </c>
      <c r="B488" s="7" t="s">
        <v>947</v>
      </c>
      <c r="C488" s="7" t="s">
        <v>1215</v>
      </c>
      <c r="D488" s="7" t="s">
        <v>1296</v>
      </c>
      <c r="E488" s="3" t="str">
        <f>HYPERLINK("https://www.pchmayoreo.com/index.php/catalogsearch/result/?q=AC-487112-3", "Ir a sitio web")</f>
        <v>Ir a sitio web</v>
      </c>
    </row>
    <row r="489" spans="1:5" s="3" customFormat="1" ht="33" customHeight="1" x14ac:dyDescent="0.35">
      <c r="A489" s="6" t="s">
        <v>948</v>
      </c>
      <c r="B489" s="7" t="s">
        <v>949</v>
      </c>
      <c r="C489" s="7" t="s">
        <v>1232</v>
      </c>
      <c r="D489" s="7" t="s">
        <v>1296</v>
      </c>
      <c r="E489" s="3" t="str">
        <f>HYPERLINK("https://www.pchmayoreo.com/index.php/catalogsearch/result/?q=AU-367174-16", "Ir a sitio web")</f>
        <v>Ir a sitio web</v>
      </c>
    </row>
    <row r="490" spans="1:5" s="3" customFormat="1" ht="33" customHeight="1" x14ac:dyDescent="0.35">
      <c r="A490" s="6" t="s">
        <v>950</v>
      </c>
      <c r="B490" s="7" t="s">
        <v>951</v>
      </c>
      <c r="C490" s="7" t="s">
        <v>1232</v>
      </c>
      <c r="D490" s="7" t="s">
        <v>1296</v>
      </c>
      <c r="E490" s="3" t="str">
        <f>HYPERLINK("https://www.pchmayoreo.com/index.php/catalogsearch/result/?q=AU-367174-14", "Ir a sitio web")</f>
        <v>Ir a sitio web</v>
      </c>
    </row>
    <row r="491" spans="1:5" s="3" customFormat="1" ht="33" customHeight="1" x14ac:dyDescent="0.35">
      <c r="A491" s="6" t="s">
        <v>952</v>
      </c>
      <c r="B491" s="7" t="s">
        <v>953</v>
      </c>
      <c r="C491" s="7" t="s">
        <v>1232</v>
      </c>
      <c r="D491" s="7" t="s">
        <v>1296</v>
      </c>
      <c r="E491" s="3" t="str">
        <f>HYPERLINK("https://www.pchmayoreo.com/index.php/catalogsearch/result/?q=AU-377172-3", "Ir a sitio web")</f>
        <v>Ir a sitio web</v>
      </c>
    </row>
    <row r="492" spans="1:5" s="3" customFormat="1" ht="33" customHeight="1" x14ac:dyDescent="0.35">
      <c r="A492" s="6" t="s">
        <v>954</v>
      </c>
      <c r="B492" s="7" t="s">
        <v>955</v>
      </c>
      <c r="C492" s="7" t="s">
        <v>1215</v>
      </c>
      <c r="D492" s="7" t="s">
        <v>1296</v>
      </c>
      <c r="E492" s="3" t="str">
        <f>HYPERLINK("https://www.pchmayoreo.com/index.php/catalogsearch/result/?q=AC-377114-1", "Ir a sitio web")</f>
        <v>Ir a sitio web</v>
      </c>
    </row>
    <row r="493" spans="1:5" s="3" customFormat="1" ht="33" customHeight="1" x14ac:dyDescent="0.35">
      <c r="A493" s="6" t="s">
        <v>956</v>
      </c>
      <c r="B493" s="7" t="s">
        <v>957</v>
      </c>
      <c r="C493" s="7" t="s">
        <v>1232</v>
      </c>
      <c r="D493" s="7" t="s">
        <v>1296</v>
      </c>
      <c r="E493" s="3" t="str">
        <f>HYPERLINK("https://www.pchmayoreo.com/index.php/catalogsearch/result/?q=AU-377172-2", "Ir a sitio web")</f>
        <v>Ir a sitio web</v>
      </c>
    </row>
    <row r="494" spans="1:5" s="3" customFormat="1" ht="33" customHeight="1" x14ac:dyDescent="0.35">
      <c r="A494" s="6" t="s">
        <v>958</v>
      </c>
      <c r="B494" s="7" t="s">
        <v>959</v>
      </c>
      <c r="C494" s="7" t="s">
        <v>1215</v>
      </c>
      <c r="D494" s="7" t="s">
        <v>1296</v>
      </c>
      <c r="E494" s="3" t="str">
        <f>HYPERLINK("https://www.pchmayoreo.com/index.php/catalogsearch/result/?q=AC-577110-1", "Ir a sitio web")</f>
        <v>Ir a sitio web</v>
      </c>
    </row>
    <row r="495" spans="1:5" s="3" customFormat="1" ht="33" customHeight="1" x14ac:dyDescent="0.35">
      <c r="A495" s="6" t="s">
        <v>960</v>
      </c>
      <c r="B495" s="7" t="s">
        <v>961</v>
      </c>
      <c r="C495" s="7" t="s">
        <v>1232</v>
      </c>
      <c r="D495" s="7" t="s">
        <v>1296</v>
      </c>
      <c r="E495" s="3" t="str">
        <f>HYPERLINK("https://www.pchmayoreo.com/index.php/catalogsearch/result/?q=AU-367172-1", "Ir a sitio web")</f>
        <v>Ir a sitio web</v>
      </c>
    </row>
    <row r="496" spans="1:5" s="3" customFormat="1" ht="33" customHeight="1" x14ac:dyDescent="0.35">
      <c r="A496" s="6" t="s">
        <v>962</v>
      </c>
      <c r="B496" s="7" t="s">
        <v>963</v>
      </c>
      <c r="C496" s="7" t="s">
        <v>1232</v>
      </c>
      <c r="D496" s="7" t="s">
        <v>1296</v>
      </c>
      <c r="E496" s="3" t="str">
        <f>HYPERLINK("https://www.pchmayoreo.com/index.php/catalogsearch/result/?q=AU-367172-2", "Ir a sitio web")</f>
        <v>Ir a sitio web</v>
      </c>
    </row>
    <row r="497" spans="1:5" s="3" customFormat="1" ht="33" customHeight="1" x14ac:dyDescent="0.35">
      <c r="A497" s="6" t="s">
        <v>964</v>
      </c>
      <c r="B497" s="7" t="s">
        <v>965</v>
      </c>
      <c r="C497" s="7" t="s">
        <v>1215</v>
      </c>
      <c r="D497" s="7" t="s">
        <v>1296</v>
      </c>
      <c r="E497" s="3" t="str">
        <f>HYPERLINK("https://www.pchmayoreo.com/index.php/catalogsearch/result/?q=AC-367183-1", "Ir a sitio web")</f>
        <v>Ir a sitio web</v>
      </c>
    </row>
    <row r="498" spans="1:5" s="3" customFormat="1" ht="33" customHeight="1" x14ac:dyDescent="0.35">
      <c r="A498" s="6" t="s">
        <v>966</v>
      </c>
      <c r="B498" s="7" t="s">
        <v>967</v>
      </c>
      <c r="C498" s="7" t="s">
        <v>1232</v>
      </c>
      <c r="D498" s="7" t="s">
        <v>1296</v>
      </c>
      <c r="E498" s="3" t="str">
        <f>HYPERLINK("https://www.pchmayoreo.com/index.php/catalogsearch/result/?q=AU-377172-6", "Ir a sitio web")</f>
        <v>Ir a sitio web</v>
      </c>
    </row>
    <row r="499" spans="1:5" s="3" customFormat="1" ht="33" customHeight="1" x14ac:dyDescent="0.35">
      <c r="A499" s="6" t="s">
        <v>968</v>
      </c>
      <c r="B499" s="7" t="s">
        <v>969</v>
      </c>
      <c r="C499" s="7" t="s">
        <v>1215</v>
      </c>
      <c r="D499" s="7" t="s">
        <v>1296</v>
      </c>
      <c r="E499" s="3" t="str">
        <f>HYPERLINK("https://www.pchmayoreo.com/index.php/catalogsearch/result/?q=AC-367183-2", "Ir a sitio web")</f>
        <v>Ir a sitio web</v>
      </c>
    </row>
    <row r="500" spans="1:5" s="3" customFormat="1" ht="33" customHeight="1" x14ac:dyDescent="0.35">
      <c r="A500" s="6" t="s">
        <v>970</v>
      </c>
      <c r="B500" s="7" t="s">
        <v>971</v>
      </c>
      <c r="C500" s="7" t="s">
        <v>1215</v>
      </c>
      <c r="D500" s="7" t="s">
        <v>1296</v>
      </c>
      <c r="E500" s="3" t="str">
        <f>HYPERLINK("https://www.pchmayoreo.com/index.php/catalogsearch/result/?q=AC-577179-1", "Ir a sitio web")</f>
        <v>Ir a sitio web</v>
      </c>
    </row>
    <row r="501" spans="1:5" s="3" customFormat="1" ht="33" customHeight="1" x14ac:dyDescent="0.35">
      <c r="A501" s="6" t="s">
        <v>972</v>
      </c>
      <c r="B501" s="7" t="s">
        <v>973</v>
      </c>
      <c r="C501" s="7" t="s">
        <v>1215</v>
      </c>
      <c r="D501" s="7" t="s">
        <v>1296</v>
      </c>
      <c r="E501" s="3" t="str">
        <f>HYPERLINK("https://www.pchmayoreo.com/index.php/catalogsearch/result/?q=AC-367178-1", "Ir a sitio web")</f>
        <v>Ir a sitio web</v>
      </c>
    </row>
    <row r="502" spans="1:5" s="3" customFormat="1" ht="33" customHeight="1" x14ac:dyDescent="0.35">
      <c r="A502" s="6" t="s">
        <v>974</v>
      </c>
      <c r="B502" s="7" t="s">
        <v>975</v>
      </c>
      <c r="C502" s="7" t="s">
        <v>1215</v>
      </c>
      <c r="D502" s="7" t="s">
        <v>1296</v>
      </c>
      <c r="E502" s="3" t="str">
        <f>HYPERLINK("https://www.pchmayoreo.com/index.php/catalogsearch/result/?q=AC-367183-3", "Ir a sitio web")</f>
        <v>Ir a sitio web</v>
      </c>
    </row>
    <row r="503" spans="1:5" s="3" customFormat="1" ht="33" customHeight="1" x14ac:dyDescent="0.35">
      <c r="A503" s="6" t="s">
        <v>976</v>
      </c>
      <c r="B503" s="7" t="s">
        <v>977</v>
      </c>
      <c r="C503" s="7" t="s">
        <v>1232</v>
      </c>
      <c r="D503" s="7" t="s">
        <v>1296</v>
      </c>
      <c r="E503" s="3" t="str">
        <f>HYPERLINK("https://www.pchmayoreo.com/index.php/catalogsearch/result/?q=AU-377172-4", "Ir a sitio web")</f>
        <v>Ir a sitio web</v>
      </c>
    </row>
    <row r="504" spans="1:5" s="3" customFormat="1" ht="33" customHeight="1" x14ac:dyDescent="0.35">
      <c r="A504" s="6" t="s">
        <v>978</v>
      </c>
      <c r="B504" s="7" t="s">
        <v>979</v>
      </c>
      <c r="C504" s="7" t="s">
        <v>1215</v>
      </c>
      <c r="D504" s="7" t="s">
        <v>1296</v>
      </c>
      <c r="E504" s="3" t="str">
        <f>HYPERLINK("https://www.pchmayoreo.com/index.php/catalogsearch/result/?q=AC-367183-5", "Ir a sitio web")</f>
        <v>Ir a sitio web</v>
      </c>
    </row>
    <row r="505" spans="1:5" s="3" customFormat="1" ht="33" customHeight="1" x14ac:dyDescent="0.35">
      <c r="A505" s="6" t="s">
        <v>980</v>
      </c>
      <c r="B505" s="7" t="s">
        <v>981</v>
      </c>
      <c r="C505" s="7" t="s">
        <v>1232</v>
      </c>
      <c r="D505" s="7" t="s">
        <v>1296</v>
      </c>
      <c r="E505" s="3" t="str">
        <f>HYPERLINK("https://www.pchmayoreo.com/index.php/catalogsearch/result/?q=AU-377172-8", "Ir a sitio web")</f>
        <v>Ir a sitio web</v>
      </c>
    </row>
    <row r="506" spans="1:5" s="3" customFormat="1" ht="33" customHeight="1" x14ac:dyDescent="0.35">
      <c r="A506" s="6" t="s">
        <v>982</v>
      </c>
      <c r="B506" s="7" t="s">
        <v>983</v>
      </c>
      <c r="C506" s="7" t="s">
        <v>1215</v>
      </c>
      <c r="D506" s="7" t="s">
        <v>1296</v>
      </c>
      <c r="E506" s="3" t="str">
        <f>HYPERLINK("https://www.pchmayoreo.com/index.php/catalogsearch/result/?q=AC-367184-1", "Ir a sitio web")</f>
        <v>Ir a sitio web</v>
      </c>
    </row>
    <row r="507" spans="1:5" s="3" customFormat="1" ht="33" customHeight="1" x14ac:dyDescent="0.35">
      <c r="A507" s="6" t="s">
        <v>984</v>
      </c>
      <c r="B507" s="7" t="s">
        <v>985</v>
      </c>
      <c r="C507" s="7" t="s">
        <v>1232</v>
      </c>
      <c r="D507" s="7" t="s">
        <v>1296</v>
      </c>
      <c r="E507" s="3" t="str">
        <f>HYPERLINK("https://www.pchmayoreo.com/index.php/catalogsearch/result/?q=AU-377172-5", "Ir a sitio web")</f>
        <v>Ir a sitio web</v>
      </c>
    </row>
    <row r="508" spans="1:5" s="3" customFormat="1" ht="33" customHeight="1" x14ac:dyDescent="0.35">
      <c r="A508" s="6" t="s">
        <v>986</v>
      </c>
      <c r="B508" s="7" t="s">
        <v>987</v>
      </c>
      <c r="C508" s="7" t="s">
        <v>1297</v>
      </c>
      <c r="D508" s="7" t="s">
        <v>1103</v>
      </c>
      <c r="E508" s="3" t="str">
        <f>HYPERLINK("https://www.pchmayoreo.com/index.php/catalogsearch/result/?q=AC-596697-1", "Ir a sitio web")</f>
        <v>Ir a sitio web</v>
      </c>
    </row>
    <row r="509" spans="1:5" s="3" customFormat="1" ht="33" customHeight="1" x14ac:dyDescent="0.35">
      <c r="A509" s="6" t="s">
        <v>988</v>
      </c>
      <c r="B509" s="7" t="s">
        <v>989</v>
      </c>
      <c r="C509" s="7" t="s">
        <v>1222</v>
      </c>
      <c r="D509" s="7" t="s">
        <v>1103</v>
      </c>
      <c r="E509" s="3" t="str">
        <f>HYPERLINK("https://www.pchmayoreo.com/index.php/catalogsearch/result/?q=EQ-516613-1", "Ir a sitio web")</f>
        <v>Ir a sitio web</v>
      </c>
    </row>
    <row r="510" spans="1:5" s="3" customFormat="1" ht="33" customHeight="1" x14ac:dyDescent="0.35">
      <c r="A510" s="6" t="s">
        <v>990</v>
      </c>
      <c r="B510" s="7" t="s">
        <v>991</v>
      </c>
      <c r="C510" s="7" t="s">
        <v>1297</v>
      </c>
      <c r="D510" s="7" t="s">
        <v>1103</v>
      </c>
      <c r="E510" s="3" t="str">
        <f>HYPERLINK("https://www.pchmayoreo.com/index.php/catalogsearch/result/?q=SD-706611-1", "Ir a sitio web")</f>
        <v>Ir a sitio web</v>
      </c>
    </row>
    <row r="511" spans="1:5" s="3" customFormat="1" ht="33" customHeight="1" x14ac:dyDescent="0.35">
      <c r="A511" s="6" t="s">
        <v>992</v>
      </c>
      <c r="B511" s="7" t="s">
        <v>993</v>
      </c>
      <c r="C511" s="7" t="s">
        <v>1215</v>
      </c>
      <c r="D511" s="7" t="s">
        <v>1103</v>
      </c>
      <c r="E511" s="5" t="str">
        <f>HYPERLINK("https://www.pchmayoreo.com/index.php/catalogsearch/result/?q=AC-446697-3", "Ir a sitio web")</f>
        <v>Ir a sitio web</v>
      </c>
    </row>
    <row r="512" spans="1:5" s="3" customFormat="1" ht="33" customHeight="1" x14ac:dyDescent="0.35">
      <c r="A512" s="6" t="s">
        <v>994</v>
      </c>
      <c r="B512" s="7" t="s">
        <v>995</v>
      </c>
      <c r="C512" s="7" t="s">
        <v>1222</v>
      </c>
      <c r="D512" s="7" t="s">
        <v>1103</v>
      </c>
      <c r="E512" s="3" t="str">
        <f>HYPERLINK("https://www.pchmayoreo.com/index.php/catalogsearch/result/?q=EQ-526610-5", "Ir a sitio web")</f>
        <v>Ir a sitio web</v>
      </c>
    </row>
    <row r="513" spans="1:5" s="3" customFormat="1" ht="33" customHeight="1" x14ac:dyDescent="0.35">
      <c r="A513" s="6" t="s">
        <v>996</v>
      </c>
      <c r="B513" s="7" t="s">
        <v>997</v>
      </c>
      <c r="C513" s="7" t="s">
        <v>1102</v>
      </c>
      <c r="D513" s="7" t="s">
        <v>1103</v>
      </c>
      <c r="E513" s="3" t="str">
        <f>HYPERLINK("https://www.pchmayoreo.com/index.php/catalogsearch/result/?q=PV-446697-1", "Ir a sitio web")</f>
        <v>Ir a sitio web</v>
      </c>
    </row>
    <row r="514" spans="1:5" s="3" customFormat="1" ht="33" customHeight="1" x14ac:dyDescent="0.35">
      <c r="A514" s="6" t="s">
        <v>998</v>
      </c>
      <c r="B514" s="7" t="s">
        <v>999</v>
      </c>
      <c r="C514" s="7" t="s">
        <v>1102</v>
      </c>
      <c r="D514" s="7" t="s">
        <v>1103</v>
      </c>
      <c r="E514" s="5" t="str">
        <f>HYPERLINK("https://www.pchmayoreo.com/index.php/catalogsearch/result/?q=PV-526683-1", "Ir a sitio web")</f>
        <v>Ir a sitio web</v>
      </c>
    </row>
    <row r="515" spans="1:5" s="3" customFormat="1" ht="33" customHeight="1" x14ac:dyDescent="0.35">
      <c r="A515" s="6" t="s">
        <v>1000</v>
      </c>
      <c r="B515" s="7" t="s">
        <v>1001</v>
      </c>
      <c r="C515" s="7" t="s">
        <v>1259</v>
      </c>
      <c r="D515" s="7" t="s">
        <v>1103</v>
      </c>
      <c r="E515" s="3" t="str">
        <f>HYPERLINK("https://www.pchmayoreo.com/index.php/catalogsearch/result/?q=SG-366611-4", "Ir a sitio web")</f>
        <v>Ir a sitio web</v>
      </c>
    </row>
    <row r="516" spans="1:5" s="3" customFormat="1" ht="33" customHeight="1" x14ac:dyDescent="0.35">
      <c r="A516" s="6" t="s">
        <v>1002</v>
      </c>
      <c r="B516" s="7" t="s">
        <v>1003</v>
      </c>
      <c r="C516" s="7" t="s">
        <v>1215</v>
      </c>
      <c r="D516" s="7" t="s">
        <v>1103</v>
      </c>
      <c r="E516" s="3" t="str">
        <f>HYPERLINK("https://www.pchmayoreo.com/index.php/catalogsearch/result/?q=AC-446678-1", "Ir a sitio web")</f>
        <v>Ir a sitio web</v>
      </c>
    </row>
    <row r="517" spans="1:5" s="3" customFormat="1" ht="33" customHeight="1" x14ac:dyDescent="0.35">
      <c r="A517" s="6" t="s">
        <v>1004</v>
      </c>
      <c r="B517" s="7" t="s">
        <v>1005</v>
      </c>
      <c r="C517" s="7" t="s">
        <v>1222</v>
      </c>
      <c r="D517" s="7" t="s">
        <v>1103</v>
      </c>
      <c r="E517" s="3" t="str">
        <f>HYPERLINK("https://www.pchmayoreo.com/index.php/catalogsearch/result/?q=EQ-526610-9", "Ir a sitio web")</f>
        <v>Ir a sitio web</v>
      </c>
    </row>
    <row r="518" spans="1:5" s="3" customFormat="1" ht="33" customHeight="1" x14ac:dyDescent="0.35">
      <c r="A518" s="6" t="s">
        <v>1006</v>
      </c>
      <c r="B518" s="7" t="s">
        <v>1007</v>
      </c>
      <c r="C518" s="7" t="s">
        <v>1215</v>
      </c>
      <c r="D518" s="7" t="s">
        <v>1103</v>
      </c>
      <c r="E518" s="3" t="str">
        <f>HYPERLINK("https://www.pchmayoreo.com/index.php/catalogsearch/result/?q=AC-396612-1", "Ir a sitio web")</f>
        <v>Ir a sitio web</v>
      </c>
    </row>
    <row r="519" spans="1:5" s="3" customFormat="1" ht="33" customHeight="1" x14ac:dyDescent="0.35">
      <c r="A519" s="6" t="s">
        <v>1008</v>
      </c>
      <c r="B519" s="7" t="s">
        <v>1009</v>
      </c>
      <c r="C519" s="7" t="s">
        <v>1102</v>
      </c>
      <c r="D519" s="7" t="s">
        <v>1103</v>
      </c>
      <c r="E519" s="5" t="str">
        <f>HYPERLINK("https://www.pchmayoreo.com/index.php/catalogsearch/result/?q=PV-446697-2", "Ir a sitio web")</f>
        <v>Ir a sitio web</v>
      </c>
    </row>
    <row r="520" spans="1:5" s="3" customFormat="1" ht="33" customHeight="1" x14ac:dyDescent="0.35">
      <c r="A520" s="6" t="s">
        <v>1010</v>
      </c>
      <c r="B520" s="7" t="s">
        <v>1011</v>
      </c>
      <c r="C520" s="7" t="s">
        <v>1259</v>
      </c>
      <c r="D520" s="7" t="s">
        <v>1103</v>
      </c>
      <c r="E520" s="3" t="str">
        <f>HYPERLINK("https://www.pchmayoreo.com/index.php/catalogsearch/result/?q=SG-236615-3", "Ir a sitio web")</f>
        <v>Ir a sitio web</v>
      </c>
    </row>
    <row r="521" spans="1:5" s="3" customFormat="1" ht="33" customHeight="1" x14ac:dyDescent="0.35">
      <c r="A521" s="6" t="s">
        <v>1012</v>
      </c>
      <c r="B521" s="7" t="s">
        <v>1013</v>
      </c>
      <c r="C521" s="7" t="s">
        <v>1259</v>
      </c>
      <c r="D521" s="7" t="s">
        <v>1103</v>
      </c>
      <c r="E521" s="3" t="str">
        <f>HYPERLINK("https://www.pchmayoreo.com/index.php/catalogsearch/result/?q=SG-366611-6", "Ir a sitio web")</f>
        <v>Ir a sitio web</v>
      </c>
    </row>
    <row r="522" spans="1:5" s="3" customFormat="1" ht="33" customHeight="1" x14ac:dyDescent="0.35">
      <c r="A522" s="6" t="s">
        <v>1014</v>
      </c>
      <c r="B522" s="7" t="s">
        <v>1015</v>
      </c>
      <c r="C522" s="7" t="s">
        <v>1215</v>
      </c>
      <c r="D522" s="7" t="s">
        <v>1103</v>
      </c>
      <c r="E522" s="3" t="str">
        <f>HYPERLINK("https://www.pchmayoreo.com/index.php/catalogsearch/result/?q=AC-396697-1", "Ir a sitio web")</f>
        <v>Ir a sitio web</v>
      </c>
    </row>
    <row r="523" spans="1:5" s="3" customFormat="1" ht="33" customHeight="1" x14ac:dyDescent="0.35">
      <c r="A523" s="6" t="s">
        <v>1016</v>
      </c>
      <c r="B523" s="7" t="s">
        <v>1017</v>
      </c>
      <c r="C523" s="7" t="s">
        <v>1259</v>
      </c>
      <c r="D523" s="7" t="s">
        <v>1103</v>
      </c>
      <c r="E523" s="3" t="str">
        <f>HYPERLINK("https://www.pchmayoreo.com/index.php/catalogsearch/result/?q=SG-236615-1", "Ir a sitio web")</f>
        <v>Ir a sitio web</v>
      </c>
    </row>
    <row r="524" spans="1:5" s="3" customFormat="1" ht="33" customHeight="1" x14ac:dyDescent="0.35">
      <c r="A524" s="6" t="s">
        <v>1018</v>
      </c>
      <c r="B524" s="7" t="s">
        <v>1019</v>
      </c>
      <c r="C524" s="7" t="s">
        <v>1259</v>
      </c>
      <c r="D524" s="7" t="s">
        <v>1103</v>
      </c>
      <c r="E524" s="3" t="str">
        <f>HYPERLINK("https://www.pchmayoreo.com/index.php/catalogsearch/result/?q=SG-366673-1", "Ir a sitio web")</f>
        <v>Ir a sitio web</v>
      </c>
    </row>
    <row r="525" spans="1:5" s="3" customFormat="1" ht="33" customHeight="1" x14ac:dyDescent="0.35">
      <c r="A525" s="6" t="s">
        <v>1020</v>
      </c>
      <c r="B525" s="7" t="s">
        <v>1021</v>
      </c>
      <c r="C525" s="7" t="s">
        <v>1215</v>
      </c>
      <c r="D525" s="7" t="s">
        <v>1103</v>
      </c>
      <c r="E525" s="3" t="str">
        <f>HYPERLINK("https://www.pchmayoreo.com/index.php/catalogsearch/result/?q=AC-446674-2", "Ir a sitio web")</f>
        <v>Ir a sitio web</v>
      </c>
    </row>
    <row r="526" spans="1:5" s="3" customFormat="1" ht="33" customHeight="1" x14ac:dyDescent="0.35">
      <c r="A526" s="6" t="s">
        <v>1022</v>
      </c>
      <c r="B526" s="7" t="s">
        <v>1023</v>
      </c>
      <c r="C526" s="7" t="s">
        <v>1102</v>
      </c>
      <c r="D526" s="7" t="s">
        <v>1103</v>
      </c>
      <c r="E526" s="3" t="str">
        <f>HYPERLINK("https://www.pchmayoreo.com/index.php/catalogsearch/result/?q=PV-396680-1", "Ir a sitio web")</f>
        <v>Ir a sitio web</v>
      </c>
    </row>
    <row r="527" spans="1:5" s="3" customFormat="1" ht="33" customHeight="1" x14ac:dyDescent="0.35">
      <c r="A527" s="6" t="s">
        <v>1024</v>
      </c>
      <c r="B527" s="7" t="s">
        <v>1025</v>
      </c>
      <c r="C527" s="7" t="s">
        <v>1256</v>
      </c>
      <c r="D527" s="7" t="s">
        <v>1103</v>
      </c>
      <c r="E527" s="3" t="str">
        <f>HYPERLINK("https://www.pchmayoreo.com/index.php/catalogsearch/result/?q=EN-496613-1", "Ir a sitio web")</f>
        <v>Ir a sitio web</v>
      </c>
    </row>
    <row r="528" spans="1:5" s="3" customFormat="1" ht="33" customHeight="1" x14ac:dyDescent="0.35">
      <c r="A528" s="6" t="s">
        <v>1026</v>
      </c>
      <c r="B528" s="7" t="s">
        <v>1027</v>
      </c>
      <c r="C528" s="7" t="s">
        <v>1259</v>
      </c>
      <c r="D528" s="7" t="s">
        <v>1103</v>
      </c>
      <c r="E528" s="3" t="str">
        <f>HYPERLINK("https://www.pchmayoreo.com/index.php/catalogsearch/result/?q=SG-386673-2", "Ir a sitio web")</f>
        <v>Ir a sitio web</v>
      </c>
    </row>
    <row r="529" spans="1:5" s="3" customFormat="1" ht="33" customHeight="1" x14ac:dyDescent="0.35">
      <c r="A529" s="6" t="s">
        <v>1028</v>
      </c>
      <c r="B529" s="7" t="s">
        <v>1029</v>
      </c>
      <c r="C529" s="7" t="s">
        <v>1215</v>
      </c>
      <c r="D529" s="7" t="s">
        <v>1103</v>
      </c>
      <c r="E529" s="3" t="str">
        <f>HYPERLINK("https://www.pchmayoreo.com/index.php/catalogsearch/result/?q=AC-366614-1", "Ir a sitio web")</f>
        <v>Ir a sitio web</v>
      </c>
    </row>
    <row r="530" spans="1:5" s="3" customFormat="1" ht="33" customHeight="1" x14ac:dyDescent="0.35">
      <c r="A530" s="6" t="s">
        <v>1030</v>
      </c>
      <c r="B530" s="7" t="s">
        <v>1031</v>
      </c>
      <c r="C530" s="7" t="s">
        <v>1297</v>
      </c>
      <c r="D530" s="7" t="s">
        <v>1103</v>
      </c>
      <c r="E530" s="3" t="str">
        <f>HYPERLINK("https://www.pchmayoreo.com/index.php/catalogsearch/result/?q=SD-486691-1", "Ir a sitio web")</f>
        <v>Ir a sitio web</v>
      </c>
    </row>
    <row r="531" spans="1:5" s="3" customFormat="1" ht="33" customHeight="1" x14ac:dyDescent="0.35">
      <c r="A531" s="6" t="s">
        <v>1032</v>
      </c>
      <c r="B531" s="7" t="s">
        <v>1033</v>
      </c>
      <c r="C531" s="7" t="s">
        <v>1222</v>
      </c>
      <c r="D531" s="7" t="s">
        <v>1103</v>
      </c>
      <c r="E531" s="3" t="str">
        <f>HYPERLINK("https://www.pchmayoreo.com/index.php/catalogsearch/result/?q=EQ-526611-13", "Ir a sitio web")</f>
        <v>Ir a sitio web</v>
      </c>
    </row>
    <row r="532" spans="1:5" s="3" customFormat="1" ht="33" customHeight="1" x14ac:dyDescent="0.35">
      <c r="A532" s="6" t="s">
        <v>1034</v>
      </c>
      <c r="B532" s="7" t="s">
        <v>1035</v>
      </c>
      <c r="C532" s="7" t="s">
        <v>1259</v>
      </c>
      <c r="D532" s="7" t="s">
        <v>1103</v>
      </c>
      <c r="E532" s="3" t="str">
        <f>HYPERLINK("https://www.pchmayoreo.com/index.php/catalogsearch/result/?q=SG-236615-2", "Ir a sitio web")</f>
        <v>Ir a sitio web</v>
      </c>
    </row>
    <row r="533" spans="1:5" s="3" customFormat="1" ht="33" customHeight="1" x14ac:dyDescent="0.35">
      <c r="A533" s="6" t="s">
        <v>1036</v>
      </c>
      <c r="B533" s="7" t="s">
        <v>1037</v>
      </c>
      <c r="C533" s="7" t="s">
        <v>1102</v>
      </c>
      <c r="D533" s="7" t="s">
        <v>1103</v>
      </c>
      <c r="E533" s="3" t="str">
        <f>HYPERLINK("https://www.pchmayoreo.com/index.php/catalogsearch/result/?q=PV-406611-1", "Ir a sitio web")</f>
        <v>Ir a sitio web</v>
      </c>
    </row>
    <row r="534" spans="1:5" s="3" customFormat="1" ht="33" customHeight="1" x14ac:dyDescent="0.35">
      <c r="A534" s="6" t="s">
        <v>1038</v>
      </c>
      <c r="B534" s="7" t="s">
        <v>1039</v>
      </c>
      <c r="C534" s="7" t="s">
        <v>1259</v>
      </c>
      <c r="D534" s="7" t="s">
        <v>1103</v>
      </c>
      <c r="E534" s="3" t="str">
        <f>HYPERLINK("https://www.pchmayoreo.com/index.php/catalogsearch/result/?q=SG-366611-7", "Ir a sitio web")</f>
        <v>Ir a sitio web</v>
      </c>
    </row>
    <row r="535" spans="1:5" s="3" customFormat="1" ht="33" customHeight="1" x14ac:dyDescent="0.35">
      <c r="A535" s="6" t="s">
        <v>1040</v>
      </c>
      <c r="B535" s="7" t="s">
        <v>1041</v>
      </c>
      <c r="C535" s="7" t="s">
        <v>1222</v>
      </c>
      <c r="D535" s="7" t="s">
        <v>1103</v>
      </c>
      <c r="E535" s="3" t="str">
        <f>HYPERLINK("https://www.pchmayoreo.com/index.php/catalogsearch/result/?q=EQ-526611-18", "Ir a sitio web")</f>
        <v>Ir a sitio web</v>
      </c>
    </row>
    <row r="536" spans="1:5" s="3" customFormat="1" ht="33" customHeight="1" x14ac:dyDescent="0.35">
      <c r="A536" s="6" t="s">
        <v>1042</v>
      </c>
      <c r="B536" s="7" t="s">
        <v>1043</v>
      </c>
      <c r="C536" s="7" t="s">
        <v>1215</v>
      </c>
      <c r="D536" s="7" t="s">
        <v>1103</v>
      </c>
      <c r="E536" s="3" t="str">
        <f>HYPERLINK("https://www.pchmayoreo.com/index.php/catalogsearch/result/?q=AC-576611-1", "Ir a sitio web")</f>
        <v>Ir a sitio web</v>
      </c>
    </row>
    <row r="537" spans="1:5" s="3" customFormat="1" ht="33" customHeight="1" x14ac:dyDescent="0.35">
      <c r="A537" s="6" t="s">
        <v>1044</v>
      </c>
      <c r="B537" s="7" t="s">
        <v>1045</v>
      </c>
      <c r="C537" s="7" t="s">
        <v>1254</v>
      </c>
      <c r="D537" s="7" t="s">
        <v>1103</v>
      </c>
      <c r="E537" s="3" t="str">
        <f>HYPERLINK("https://www.pchmayoreo.com/index.php/catalogsearch/result/?q=CB-586696-1", "Ir a sitio web")</f>
        <v>Ir a sitio web</v>
      </c>
    </row>
    <row r="538" spans="1:5" s="3" customFormat="1" ht="33" customHeight="1" x14ac:dyDescent="0.35">
      <c r="A538" s="6" t="s">
        <v>1046</v>
      </c>
      <c r="B538" s="7" t="s">
        <v>1047</v>
      </c>
      <c r="C538" s="7" t="s">
        <v>1215</v>
      </c>
      <c r="D538" s="7" t="s">
        <v>1103</v>
      </c>
      <c r="E538" s="3" t="str">
        <f>HYPERLINK("https://www.pchmayoreo.com/index.php/catalogsearch/result/?q=AC-486612-1", "Ir a sitio web")</f>
        <v>Ir a sitio web</v>
      </c>
    </row>
    <row r="539" spans="1:5" s="3" customFormat="1" ht="33" customHeight="1" x14ac:dyDescent="0.35">
      <c r="A539" s="6" t="s">
        <v>1048</v>
      </c>
      <c r="B539" s="7" t="s">
        <v>1049</v>
      </c>
      <c r="C539" s="7" t="s">
        <v>1215</v>
      </c>
      <c r="D539" s="7" t="s">
        <v>1103</v>
      </c>
      <c r="E539" s="3" t="str">
        <f>HYPERLINK("https://www.pchmayoreo.com/index.php/catalogsearch/result/?q=AC-446674-1", "Ir a sitio web")</f>
        <v>Ir a sitio web</v>
      </c>
    </row>
    <row r="540" spans="1:5" s="3" customFormat="1" ht="33" customHeight="1" x14ac:dyDescent="0.35">
      <c r="A540" s="6" t="s">
        <v>1050</v>
      </c>
      <c r="B540" s="7" t="s">
        <v>1051</v>
      </c>
      <c r="C540" s="7" t="s">
        <v>1232</v>
      </c>
      <c r="D540" s="7" t="s">
        <v>1103</v>
      </c>
      <c r="E540" s="3" t="str">
        <f>HYPERLINK("https://www.pchmayoreo.com/index.php/catalogsearch/result/?q=AC-366674-1", "Ir a sitio web")</f>
        <v>Ir a sitio web</v>
      </c>
    </row>
    <row r="541" spans="1:5" s="3" customFormat="1" ht="33" customHeight="1" x14ac:dyDescent="0.35">
      <c r="A541" s="6" t="s">
        <v>1052</v>
      </c>
      <c r="B541" s="7" t="s">
        <v>1053</v>
      </c>
      <c r="C541" s="7" t="s">
        <v>1259</v>
      </c>
      <c r="D541" s="7" t="s">
        <v>1103</v>
      </c>
      <c r="E541" s="3" t="str">
        <f>HYPERLINK("https://www.pchmayoreo.com/index.php/catalogsearch/result/?q=SG-236610-1", "Ir a sitio web")</f>
        <v>Ir a sitio web</v>
      </c>
    </row>
    <row r="542" spans="1:5" s="3" customFormat="1" ht="33" customHeight="1" x14ac:dyDescent="0.35">
      <c r="A542" s="6" t="s">
        <v>1054</v>
      </c>
      <c r="B542" s="7" t="s">
        <v>1055</v>
      </c>
      <c r="C542" s="7" t="s">
        <v>1222</v>
      </c>
      <c r="D542" s="7" t="s">
        <v>1103</v>
      </c>
      <c r="E542" s="3" t="str">
        <f>HYPERLINK("https://www.pchmayoreo.com/index.php/catalogsearch/result/?q=EQ-516611-3", "Ir a sitio web")</f>
        <v>Ir a sitio web</v>
      </c>
    </row>
    <row r="543" spans="1:5" s="3" customFormat="1" ht="33" customHeight="1" x14ac:dyDescent="0.35">
      <c r="A543" s="6" t="s">
        <v>1056</v>
      </c>
      <c r="B543" s="7" t="s">
        <v>1057</v>
      </c>
      <c r="C543" s="7" t="s">
        <v>1276</v>
      </c>
      <c r="D543" s="7" t="s">
        <v>1103</v>
      </c>
      <c r="E543" s="3" t="str">
        <f>HYPERLINK("https://www.pchmayoreo.com/index.php/catalogsearch/result/?q=MO-636679-1", "Ir a sitio web")</f>
        <v>Ir a sitio web</v>
      </c>
    </row>
    <row r="544" spans="1:5" s="3" customFormat="1" ht="33" customHeight="1" x14ac:dyDescent="0.35">
      <c r="A544" s="6" t="s">
        <v>1058</v>
      </c>
      <c r="B544" s="7" t="s">
        <v>1059</v>
      </c>
      <c r="C544" s="7" t="s">
        <v>1259</v>
      </c>
      <c r="D544" s="7" t="s">
        <v>1103</v>
      </c>
      <c r="E544" s="3" t="str">
        <f>HYPERLINK("https://www.pchmayoreo.com/index.php/catalogsearch/result/?q=SG-716696-1", "Ir a sitio web")</f>
        <v>Ir a sitio web</v>
      </c>
    </row>
    <row r="545" spans="1:5" s="3" customFormat="1" ht="33" customHeight="1" x14ac:dyDescent="0.35">
      <c r="A545" s="6" t="s">
        <v>1060</v>
      </c>
      <c r="B545" s="7" t="s">
        <v>1061</v>
      </c>
      <c r="C545" s="7" t="s">
        <v>1252</v>
      </c>
      <c r="D545" s="7" t="s">
        <v>1103</v>
      </c>
      <c r="E545" s="5" t="str">
        <f>HYPERLINK("https://www.pchmayoreo.com/index.php/catalogsearch/result/?q=RE-346678-2", "Ir a sitio web")</f>
        <v>Ir a sitio web</v>
      </c>
    </row>
    <row r="546" spans="1:5" s="3" customFormat="1" ht="33" customHeight="1" x14ac:dyDescent="0.35">
      <c r="A546" s="6" t="s">
        <v>1062</v>
      </c>
      <c r="B546" s="7" t="s">
        <v>1063</v>
      </c>
      <c r="C546" s="7" t="s">
        <v>1259</v>
      </c>
      <c r="D546" s="7" t="s">
        <v>1103</v>
      </c>
      <c r="E546" s="3" t="str">
        <f>HYPERLINK("https://www.pchmayoreo.com/index.php/catalogsearch/result/?q=SG-346673-2", "Ir a sitio web")</f>
        <v>Ir a sitio web</v>
      </c>
    </row>
    <row r="547" spans="1:5" s="3" customFormat="1" ht="33" customHeight="1" x14ac:dyDescent="0.35">
      <c r="A547" s="6" t="s">
        <v>1064</v>
      </c>
      <c r="B547" s="7" t="s">
        <v>1065</v>
      </c>
      <c r="C547" s="7" t="s">
        <v>1259</v>
      </c>
      <c r="D547" s="7" t="s">
        <v>1103</v>
      </c>
      <c r="E547" s="3" t="str">
        <f>HYPERLINK("https://www.pchmayoreo.com/index.php/catalogsearch/result/?q=SG-366673-4", "Ir a sitio web")</f>
        <v>Ir a sitio web</v>
      </c>
    </row>
    <row r="548" spans="1:5" s="3" customFormat="1" ht="33" customHeight="1" x14ac:dyDescent="0.35">
      <c r="A548" s="6" t="s">
        <v>1066</v>
      </c>
      <c r="B548" s="7" t="s">
        <v>1067</v>
      </c>
      <c r="C548" s="7" t="s">
        <v>1215</v>
      </c>
      <c r="D548" s="7" t="s">
        <v>1103</v>
      </c>
      <c r="E548" s="3" t="str">
        <f>HYPERLINK("https://www.pchmayoreo.com/index.php/catalogsearch/result/?q=AC-416678-1", "Ir a sitio web")</f>
        <v>Ir a sitio web</v>
      </c>
    </row>
    <row r="549" spans="1:5" s="3" customFormat="1" ht="33" customHeight="1" x14ac:dyDescent="0.35">
      <c r="A549" s="6" t="s">
        <v>1068</v>
      </c>
      <c r="B549" s="7" t="s">
        <v>1069</v>
      </c>
      <c r="C549" s="7" t="s">
        <v>1254</v>
      </c>
      <c r="D549" s="7" t="s">
        <v>1103</v>
      </c>
      <c r="E549" s="3" t="str">
        <f>HYPERLINK("https://www.pchmayoreo.com/index.php/catalogsearch/result/?q=AC-624113-1", "Ir a sitio web")</f>
        <v>Ir a sitio web</v>
      </c>
    </row>
    <row r="550" spans="1:5" s="3" customFormat="1" ht="33" customHeight="1" x14ac:dyDescent="0.35">
      <c r="A550" s="6" t="s">
        <v>1070</v>
      </c>
      <c r="B550" s="7" t="s">
        <v>1071</v>
      </c>
      <c r="C550" s="7" t="s">
        <v>1254</v>
      </c>
      <c r="D550" s="7" t="s">
        <v>1103</v>
      </c>
      <c r="E550" s="3" t="str">
        <f>HYPERLINK("https://www.pchmayoreo.com/index.php/catalogsearch/result/?q=CB-626612-1", "Ir a sitio web")</f>
        <v>Ir a sitio web</v>
      </c>
    </row>
    <row r="551" spans="1:5" s="3" customFormat="1" ht="33" customHeight="1" x14ac:dyDescent="0.35">
      <c r="A551" s="6" t="s">
        <v>1072</v>
      </c>
      <c r="B551" s="7" t="s">
        <v>1073</v>
      </c>
      <c r="C551" s="7" t="s">
        <v>1259</v>
      </c>
      <c r="D551" s="7" t="s">
        <v>1103</v>
      </c>
      <c r="E551" s="3" t="str">
        <f>HYPERLINK("https://www.pchmayoreo.com/index.php/catalogsearch/result/?q=SG-346673-3", "Ir a sitio web")</f>
        <v>Ir a sitio web</v>
      </c>
    </row>
    <row r="552" spans="1:5" s="3" customFormat="1" ht="33" customHeight="1" x14ac:dyDescent="0.35">
      <c r="A552" s="6" t="s">
        <v>1074</v>
      </c>
      <c r="B552" s="7" t="s">
        <v>1075</v>
      </c>
      <c r="C552" s="7" t="s">
        <v>1102</v>
      </c>
      <c r="D552" s="7" t="s">
        <v>1103</v>
      </c>
      <c r="E552" s="3" t="str">
        <f>HYPERLINK("https://www.pchmayoreo.com/index.php/catalogsearch/result/?q=PV-376680-5", "Ir a sitio web")</f>
        <v>Ir a sitio web</v>
      </c>
    </row>
    <row r="553" spans="1:5" s="3" customFormat="1" ht="33" customHeight="1" x14ac:dyDescent="0.35">
      <c r="A553" s="6" t="s">
        <v>1076</v>
      </c>
      <c r="B553" s="7" t="s">
        <v>1077</v>
      </c>
      <c r="C553" s="7" t="s">
        <v>1259</v>
      </c>
      <c r="D553" s="7" t="s">
        <v>1103</v>
      </c>
      <c r="E553" s="3" t="str">
        <f>HYPERLINK("https://www.pchmayoreo.com/index.php/catalogsearch/result/?q=SG-366611-3", "Ir a sitio web")</f>
        <v>Ir a sitio web</v>
      </c>
    </row>
    <row r="554" spans="1:5" s="3" customFormat="1" ht="33" customHeight="1" x14ac:dyDescent="0.35">
      <c r="A554" s="6" t="s">
        <v>1078</v>
      </c>
      <c r="B554" s="7" t="s">
        <v>1079</v>
      </c>
      <c r="C554" s="7" t="s">
        <v>1222</v>
      </c>
      <c r="D554" s="7" t="s">
        <v>1103</v>
      </c>
      <c r="E554" s="3" t="str">
        <f>HYPERLINK("https://www.pchmayoreo.com/index.php/catalogsearch/result/?q=EQ-526611-15", "Ir a sitio web")</f>
        <v>Ir a sitio web</v>
      </c>
    </row>
    <row r="555" spans="1:5" s="3" customFormat="1" ht="33" customHeight="1" x14ac:dyDescent="0.35">
      <c r="A555" s="6" t="s">
        <v>1080</v>
      </c>
      <c r="B555" s="7" t="s">
        <v>1081</v>
      </c>
      <c r="C555" s="7" t="s">
        <v>1222</v>
      </c>
      <c r="D555" s="7" t="s">
        <v>1103</v>
      </c>
      <c r="E555" s="3" t="str">
        <f>HYPERLINK("https://www.pchmayoreo.com/index.php/catalogsearch/result/?q=EQ-526610-6", "Ir a sitio web")</f>
        <v>Ir a sitio web</v>
      </c>
    </row>
    <row r="556" spans="1:5" s="3" customFormat="1" ht="33" customHeight="1" x14ac:dyDescent="0.35">
      <c r="A556" s="6" t="s">
        <v>1082</v>
      </c>
      <c r="B556" s="7" t="s">
        <v>1083</v>
      </c>
      <c r="C556" s="7" t="s">
        <v>1298</v>
      </c>
      <c r="D556" s="7" t="s">
        <v>1103</v>
      </c>
      <c r="E556" s="3" t="str">
        <f>HYPERLINK("https://www.pchmayoreo.com/index.php/catalogsearch/result/?q=BU-406679-7", "Ir a sitio web")</f>
        <v>Ir a sitio web</v>
      </c>
    </row>
    <row r="557" spans="1:5" s="3" customFormat="1" ht="33" customHeight="1" x14ac:dyDescent="0.35">
      <c r="A557" s="6" t="s">
        <v>1084</v>
      </c>
      <c r="B557" s="7" t="s">
        <v>1085</v>
      </c>
      <c r="C557" s="7" t="s">
        <v>1102</v>
      </c>
      <c r="D557" s="7" t="s">
        <v>1103</v>
      </c>
      <c r="E557" s="3" t="str">
        <f>HYPERLINK("https://www.pchmayoreo.com/index.php/catalogsearch/result/?q=PV-346680-1", "Ir a sitio web")</f>
        <v>Ir a sitio web</v>
      </c>
    </row>
    <row r="558" spans="1:5" s="3" customFormat="1" ht="33" customHeight="1" x14ac:dyDescent="0.35">
      <c r="A558" s="6" t="s">
        <v>1086</v>
      </c>
      <c r="B558" s="7" t="s">
        <v>1087</v>
      </c>
      <c r="C558" s="7" t="s">
        <v>1102</v>
      </c>
      <c r="D558" s="7" t="s">
        <v>1103</v>
      </c>
      <c r="E558" s="3" t="str">
        <f>HYPERLINK("https://www.pchmayoreo.com/index.php/catalogsearch/result/?q=PV-656610-1", "Ir a sitio web")</f>
        <v>Ir a sitio web</v>
      </c>
    </row>
    <row r="559" spans="1:5" s="3" customFormat="1" ht="33" customHeight="1" x14ac:dyDescent="0.35">
      <c r="A559" s="6" t="s">
        <v>1088</v>
      </c>
      <c r="B559" s="7" t="s">
        <v>1089</v>
      </c>
      <c r="C559" s="7" t="s">
        <v>1259</v>
      </c>
      <c r="D559" s="7" t="s">
        <v>1103</v>
      </c>
      <c r="E559" s="3" t="str">
        <f>HYPERLINK("https://www.pchmayoreo.com/index.php/catalogsearch/result/?q=SG-346673-5", "Ir a sitio web")</f>
        <v>Ir a sitio web</v>
      </c>
    </row>
    <row r="560" spans="1:5" s="3" customFormat="1" ht="33" customHeight="1" x14ac:dyDescent="0.35">
      <c r="A560" s="6" t="s">
        <v>1090</v>
      </c>
      <c r="B560" s="7" t="s">
        <v>1091</v>
      </c>
      <c r="C560" s="7" t="s">
        <v>1222</v>
      </c>
      <c r="D560" s="7" t="s">
        <v>1103</v>
      </c>
      <c r="E560" s="3" t="str">
        <f>HYPERLINK("https://www.pchmayoreo.com/index.php/catalogsearch/result/?q=EQ-526610-14", "Ir a sitio web")</f>
        <v>Ir a sitio web</v>
      </c>
    </row>
    <row r="561" spans="1:5" s="3" customFormat="1" ht="33" customHeight="1" x14ac:dyDescent="0.35">
      <c r="A561" s="6" t="s">
        <v>1092</v>
      </c>
      <c r="B561" s="7" t="s">
        <v>1093</v>
      </c>
      <c r="C561" s="7" t="s">
        <v>1297</v>
      </c>
      <c r="D561" s="7" t="s">
        <v>1103</v>
      </c>
      <c r="E561" s="3" t="str">
        <f>HYPERLINK("https://www.pchmayoreo.com/index.php/catalogsearch/result/?q=AC-486696-1", "Ir a sitio web")</f>
        <v>Ir a sitio web</v>
      </c>
    </row>
    <row r="562" spans="1:5" s="3" customFormat="1" ht="33" customHeight="1" x14ac:dyDescent="0.35">
      <c r="A562" s="6" t="s">
        <v>1094</v>
      </c>
      <c r="B562" s="7" t="s">
        <v>1095</v>
      </c>
      <c r="C562" s="7" t="s">
        <v>1276</v>
      </c>
      <c r="D562" s="7" t="s">
        <v>1103</v>
      </c>
      <c r="E562" s="3" t="str">
        <f>HYPERLINK("https://www.pchmayoreo.com/index.php/catalogsearch/result/?q=MO-546679-1", "Ir a sitio web")</f>
        <v>Ir a sitio web</v>
      </c>
    </row>
    <row r="563" spans="1:5" s="3" customFormat="1" ht="33" customHeight="1" x14ac:dyDescent="0.35">
      <c r="A563" s="6" t="s">
        <v>1096</v>
      </c>
      <c r="B563" s="7" t="s">
        <v>1097</v>
      </c>
      <c r="C563" s="7" t="s">
        <v>1259</v>
      </c>
      <c r="D563" s="7" t="s">
        <v>1103</v>
      </c>
      <c r="E563" s="3" t="str">
        <f>HYPERLINK("https://www.pchmayoreo.com/index.php/catalogsearch/result/?q=SG-366679-2", "Ir a sitio web")</f>
        <v>Ir a sitio web</v>
      </c>
    </row>
    <row r="564" spans="1:5" s="3" customFormat="1" ht="33" customHeight="1" x14ac:dyDescent="0.35">
      <c r="A564" s="6" t="s">
        <v>1098</v>
      </c>
      <c r="B564" s="7" t="s">
        <v>1099</v>
      </c>
      <c r="C564" s="7" t="s">
        <v>1222</v>
      </c>
      <c r="D564" s="7" t="s">
        <v>1103</v>
      </c>
      <c r="E564" s="3" t="str">
        <f>HYPERLINK("https://www.pchmayoreo.com/index.php/catalogsearch/result/?q=EQ-416610-1", "Ir a sitio web")</f>
        <v>Ir a sitio web</v>
      </c>
    </row>
    <row r="565" spans="1:5" s="3" customFormat="1" ht="33" customHeight="1" x14ac:dyDescent="0.35">
      <c r="A565" s="6" t="s">
        <v>1100</v>
      </c>
      <c r="B565" s="7" t="s">
        <v>1101</v>
      </c>
      <c r="C565" s="7" t="s">
        <v>1102</v>
      </c>
      <c r="D565" s="7" t="s">
        <v>1103</v>
      </c>
      <c r="E565" s="3" t="str">
        <f>HYPERLINK("https://www.pchmayoreo.com/index.php/catalogsearch/result/?q=PV-506610-4", "Ir a sitio web")</f>
        <v>Ir a sitio web</v>
      </c>
    </row>
    <row r="566" spans="1:5" s="3" customFormat="1" ht="33" customHeight="1" x14ac:dyDescent="0.35">
      <c r="A566" s="6" t="s">
        <v>1104</v>
      </c>
      <c r="B566" s="7" t="s">
        <v>1105</v>
      </c>
      <c r="C566" s="7" t="s">
        <v>1246</v>
      </c>
      <c r="D566" s="7" t="s">
        <v>1103</v>
      </c>
      <c r="E566" s="3" t="str">
        <f>HYPERLINK("https://www.pchmayoreo.com/index.php/catalogsearch/result/?q=VP-416613-2", "Ir a sitio web")</f>
        <v>Ir a sitio web</v>
      </c>
    </row>
    <row r="567" spans="1:5" s="3" customFormat="1" ht="33" customHeight="1" x14ac:dyDescent="0.35">
      <c r="A567" s="6" t="s">
        <v>1106</v>
      </c>
      <c r="B567" s="7" t="s">
        <v>1107</v>
      </c>
      <c r="C567" s="7" t="s">
        <v>1222</v>
      </c>
      <c r="D567" s="7" t="s">
        <v>1103</v>
      </c>
      <c r="E567" s="3" t="str">
        <f>HYPERLINK("https://www.pchmayoreo.com/index.php/catalogsearch/result/?q=EQ-526611-9", "Ir a sitio web")</f>
        <v>Ir a sitio web</v>
      </c>
    </row>
    <row r="568" spans="1:5" s="3" customFormat="1" ht="33" customHeight="1" x14ac:dyDescent="0.35">
      <c r="A568" s="6" t="s">
        <v>1108</v>
      </c>
      <c r="B568" s="7" t="s">
        <v>1109</v>
      </c>
      <c r="C568" s="7" t="s">
        <v>1222</v>
      </c>
      <c r="D568" s="7" t="s">
        <v>1103</v>
      </c>
      <c r="E568" s="3" t="str">
        <f>HYPERLINK("https://www.pchmayoreo.com/index.php/catalogsearch/result/?q=EQ-416687-1", "Ir a sitio web")</f>
        <v>Ir a sitio web</v>
      </c>
    </row>
    <row r="569" spans="1:5" s="3" customFormat="1" ht="33" customHeight="1" x14ac:dyDescent="0.35">
      <c r="A569" s="6" t="s">
        <v>1110</v>
      </c>
      <c r="B569" s="7" t="s">
        <v>1111</v>
      </c>
      <c r="C569" s="7" t="s">
        <v>1102</v>
      </c>
      <c r="D569" s="7" t="s">
        <v>1103</v>
      </c>
      <c r="E569" s="3" t="str">
        <f>HYPERLINK("https://www.pchmayoreo.com/index.php/catalogsearch/result/?q=MO-416610-1", "Ir a sitio web")</f>
        <v>Ir a sitio web</v>
      </c>
    </row>
    <row r="570" spans="1:5" s="3" customFormat="1" ht="33" customHeight="1" x14ac:dyDescent="0.35">
      <c r="A570" s="6" t="s">
        <v>1112</v>
      </c>
      <c r="B570" s="7" t="s">
        <v>1113</v>
      </c>
      <c r="C570" s="7" t="s">
        <v>1102</v>
      </c>
      <c r="D570" s="7" t="s">
        <v>1103</v>
      </c>
      <c r="E570" s="3" t="str">
        <f>HYPERLINK("https://www.pchmayoreo.com/index.php/catalogsearch/result/?q=PV-376680-1", "Ir a sitio web")</f>
        <v>Ir a sitio web</v>
      </c>
    </row>
    <row r="571" spans="1:5" s="3" customFormat="1" ht="33" customHeight="1" x14ac:dyDescent="0.35">
      <c r="A571" s="6" t="s">
        <v>1114</v>
      </c>
      <c r="B571" s="7" t="s">
        <v>1115</v>
      </c>
      <c r="C571" s="7" t="s">
        <v>1246</v>
      </c>
      <c r="D571" s="7" t="s">
        <v>1103</v>
      </c>
      <c r="E571" s="3" t="str">
        <f>HYPERLINK("https://www.pchmayoreo.com/index.php/catalogsearch/result/?q=VP-416612-1", "Ir a sitio web")</f>
        <v>Ir a sitio web</v>
      </c>
    </row>
    <row r="572" spans="1:5" s="3" customFormat="1" ht="33" customHeight="1" x14ac:dyDescent="0.35">
      <c r="A572" s="6" t="s">
        <v>1116</v>
      </c>
      <c r="B572" s="7" t="s">
        <v>1117</v>
      </c>
      <c r="C572" s="7" t="s">
        <v>1259</v>
      </c>
      <c r="D572" s="7" t="s">
        <v>1103</v>
      </c>
      <c r="E572" s="3" t="str">
        <f>HYPERLINK("https://www.pchmayoreo.com/index.php/catalogsearch/result/?q=SG-366611-8", "Ir a sitio web")</f>
        <v>Ir a sitio web</v>
      </c>
    </row>
    <row r="573" spans="1:5" s="3" customFormat="1" ht="33" customHeight="1" x14ac:dyDescent="0.35">
      <c r="A573" s="6" t="s">
        <v>1118</v>
      </c>
      <c r="B573" s="7" t="s">
        <v>1119</v>
      </c>
      <c r="C573" s="7" t="s">
        <v>1222</v>
      </c>
      <c r="D573" s="7" t="s">
        <v>1103</v>
      </c>
      <c r="E573" s="3" t="str">
        <f>HYPERLINK("https://www.pchmayoreo.com/index.php/catalogsearch/result/?q=EQ-526686-9", "Ir a sitio web")</f>
        <v>Ir a sitio web</v>
      </c>
    </row>
    <row r="574" spans="1:5" s="3" customFormat="1" ht="33" customHeight="1" x14ac:dyDescent="0.35">
      <c r="A574" s="6" t="s">
        <v>1120</v>
      </c>
      <c r="B574" s="7" t="s">
        <v>1121</v>
      </c>
      <c r="C574" s="7" t="s">
        <v>1276</v>
      </c>
      <c r="D574" s="7" t="s">
        <v>1103</v>
      </c>
      <c r="E574" s="3" t="str">
        <f>HYPERLINK("https://www.pchmayoreo.com/index.php/catalogsearch/result/?q=MO-536679-1", "Ir a sitio web")</f>
        <v>Ir a sitio web</v>
      </c>
    </row>
    <row r="575" spans="1:5" s="3" customFormat="1" ht="33" customHeight="1" x14ac:dyDescent="0.35">
      <c r="A575" s="6" t="s">
        <v>1122</v>
      </c>
      <c r="B575" s="7" t="s">
        <v>1123</v>
      </c>
      <c r="C575" s="7" t="s">
        <v>1246</v>
      </c>
      <c r="D575" s="7" t="s">
        <v>1103</v>
      </c>
      <c r="E575" s="3" t="str">
        <f>HYPERLINK("https://www.pchmayoreo.com/index.php/catalogsearch/result/?q=VP-416613-1", "Ir a sitio web")</f>
        <v>Ir a sitio web</v>
      </c>
    </row>
    <row r="576" spans="1:5" s="3" customFormat="1" ht="33" customHeight="1" x14ac:dyDescent="0.35">
      <c r="A576" s="6" t="s">
        <v>1124</v>
      </c>
      <c r="B576" s="7" t="s">
        <v>1125</v>
      </c>
      <c r="C576" s="7" t="s">
        <v>1297</v>
      </c>
      <c r="D576" s="7" t="s">
        <v>1103</v>
      </c>
      <c r="E576" s="3" t="str">
        <f>HYPERLINK("https://www.pchmayoreo.com/index.php/catalogsearch/result/?q=SD-516683-7", "Ir a sitio web")</f>
        <v>Ir a sitio web</v>
      </c>
    </row>
    <row r="577" spans="1:5" s="3" customFormat="1" ht="33" customHeight="1" x14ac:dyDescent="0.35">
      <c r="A577" s="6" t="s">
        <v>1126</v>
      </c>
      <c r="B577" s="7" t="s">
        <v>1127</v>
      </c>
      <c r="C577" s="7" t="s">
        <v>1276</v>
      </c>
      <c r="D577" s="7" t="s">
        <v>1103</v>
      </c>
      <c r="E577" s="3" t="str">
        <f>HYPERLINK("https://www.pchmayoreo.com/index.php/catalogsearch/result/?q=MO-416684-1", "Ir a sitio web")</f>
        <v>Ir a sitio web</v>
      </c>
    </row>
    <row r="578" spans="1:5" s="3" customFormat="1" ht="33" customHeight="1" x14ac:dyDescent="0.35">
      <c r="A578" s="6" t="s">
        <v>1128</v>
      </c>
      <c r="B578" s="7" t="s">
        <v>1129</v>
      </c>
      <c r="C578" s="7" t="s">
        <v>1259</v>
      </c>
      <c r="D578" s="7" t="s">
        <v>1103</v>
      </c>
      <c r="E578" s="3" t="str">
        <f>HYPERLINK("https://www.pchmayoreo.com/index.php/catalogsearch/result/?q=SG-236610-3", "Ir a sitio web")</f>
        <v>Ir a sitio web</v>
      </c>
    </row>
    <row r="579" spans="1:5" s="3" customFormat="1" ht="33" customHeight="1" x14ac:dyDescent="0.35">
      <c r="A579" s="6" t="s">
        <v>1130</v>
      </c>
      <c r="B579" s="7" t="s">
        <v>1131</v>
      </c>
      <c r="C579" s="7" t="s">
        <v>1297</v>
      </c>
      <c r="D579" s="7" t="s">
        <v>1103</v>
      </c>
      <c r="E579" s="3" t="str">
        <f>HYPERLINK("https://www.pchmayoreo.com/index.php/catalogsearch/result/?q=SD-516683-4", "Ir a sitio web")</f>
        <v>Ir a sitio web</v>
      </c>
    </row>
    <row r="580" spans="1:5" s="3" customFormat="1" ht="33" customHeight="1" x14ac:dyDescent="0.35">
      <c r="A580" s="6" t="s">
        <v>1132</v>
      </c>
      <c r="B580" s="7" t="s">
        <v>1133</v>
      </c>
      <c r="C580" s="7" t="s">
        <v>1297</v>
      </c>
      <c r="D580" s="7" t="s">
        <v>1103</v>
      </c>
      <c r="E580" s="3" t="str">
        <f>HYPERLINK("https://www.pchmayoreo.com/index.php/catalogsearch/result/?q=SD-516683-6", "Ir a sitio web")</f>
        <v>Ir a sitio web</v>
      </c>
    </row>
    <row r="581" spans="1:5" s="3" customFormat="1" ht="33" customHeight="1" x14ac:dyDescent="0.35">
      <c r="A581" s="6" t="s">
        <v>1134</v>
      </c>
      <c r="B581" s="7" t="s">
        <v>1135</v>
      </c>
      <c r="C581" s="7" t="s">
        <v>1297</v>
      </c>
      <c r="D581" s="7" t="s">
        <v>1103</v>
      </c>
      <c r="E581" s="3" t="str">
        <f>HYPERLINK("https://www.pchmayoreo.com/index.php/catalogsearch/result/?q=SD-516683-5", "Ir a sitio web")</f>
        <v>Ir a sitio web</v>
      </c>
    </row>
    <row r="582" spans="1:5" s="3" customFormat="1" ht="33" customHeight="1" x14ac:dyDescent="0.35">
      <c r="A582" s="6" t="s">
        <v>1136</v>
      </c>
      <c r="B582" s="7" t="s">
        <v>1137</v>
      </c>
      <c r="C582" s="7" t="s">
        <v>1102</v>
      </c>
      <c r="D582" s="7" t="s">
        <v>1103</v>
      </c>
      <c r="E582" s="3" t="str">
        <f>HYPERLINK("https://www.pchmayoreo.com/index.php/catalogsearch/result/?q=PV-426695-1", "Ir a sitio web")</f>
        <v>Ir a sitio web</v>
      </c>
    </row>
    <row r="583" spans="1:5" s="3" customFormat="1" ht="33" customHeight="1" x14ac:dyDescent="0.35">
      <c r="A583" s="6" t="s">
        <v>1138</v>
      </c>
      <c r="B583" s="7" t="s">
        <v>1139</v>
      </c>
      <c r="C583" s="7" t="s">
        <v>1102</v>
      </c>
      <c r="D583" s="7" t="s">
        <v>1103</v>
      </c>
      <c r="E583" s="3" t="str">
        <f>HYPERLINK("https://www.pchmayoreo.com/index.php/catalogsearch/result/?q=PV-406674-1", "Ir a sitio web")</f>
        <v>Ir a sitio web</v>
      </c>
    </row>
    <row r="584" spans="1:5" s="3" customFormat="1" ht="33" customHeight="1" x14ac:dyDescent="0.35">
      <c r="A584" s="6" t="s">
        <v>1140</v>
      </c>
      <c r="B584" s="7" t="s">
        <v>1141</v>
      </c>
      <c r="C584" s="7" t="s">
        <v>1297</v>
      </c>
      <c r="D584" s="7" t="s">
        <v>1103</v>
      </c>
      <c r="E584" s="3" t="str">
        <f>HYPERLINK("https://www.pchmayoreo.com/index.php/catalogsearch/result/?q=SD-516683-8", "Ir a sitio web")</f>
        <v>Ir a sitio web</v>
      </c>
    </row>
    <row r="585" spans="1:5" s="3" customFormat="1" ht="33" customHeight="1" x14ac:dyDescent="0.35">
      <c r="A585" s="6" t="s">
        <v>1142</v>
      </c>
      <c r="B585" s="7" t="s">
        <v>1143</v>
      </c>
      <c r="C585" s="7" t="s">
        <v>1102</v>
      </c>
      <c r="D585" s="7" t="s">
        <v>1103</v>
      </c>
      <c r="E585" s="3" t="str">
        <f>HYPERLINK("https://www.pchmayoreo.com/index.php/catalogsearch/result/?q=PV-426695-2", "Ir a sitio web")</f>
        <v>Ir a sitio web</v>
      </c>
    </row>
    <row r="586" spans="1:5" s="3" customFormat="1" ht="33" customHeight="1" x14ac:dyDescent="0.35">
      <c r="A586" s="6" t="s">
        <v>1144</v>
      </c>
      <c r="B586" s="7" t="s">
        <v>1145</v>
      </c>
      <c r="C586" s="7" t="s">
        <v>1259</v>
      </c>
      <c r="D586" s="7" t="s">
        <v>1103</v>
      </c>
      <c r="E586" s="3" t="str">
        <f>HYPERLINK("https://www.pchmayoreo.com/index.php/catalogsearch/result/?q=SG-366611-1", "Ir a sitio web")</f>
        <v>Ir a sitio web</v>
      </c>
    </row>
    <row r="587" spans="1:5" s="3" customFormat="1" ht="33" customHeight="1" x14ac:dyDescent="0.35">
      <c r="A587" s="6" t="s">
        <v>1146</v>
      </c>
      <c r="B587" s="7" t="s">
        <v>1147</v>
      </c>
      <c r="C587" s="7" t="s">
        <v>1259</v>
      </c>
      <c r="D587" s="7" t="s">
        <v>1103</v>
      </c>
      <c r="E587" s="3" t="str">
        <f>HYPERLINK("https://www.pchmayoreo.com/index.php/catalogsearch/result/?q=SG-366611-2", "Ir a sitio web")</f>
        <v>Ir a sitio web</v>
      </c>
    </row>
    <row r="588" spans="1:5" s="3" customFormat="1" ht="33" customHeight="1" x14ac:dyDescent="0.35">
      <c r="A588" s="6" t="s">
        <v>1148</v>
      </c>
      <c r="B588" s="7" t="s">
        <v>1149</v>
      </c>
      <c r="C588" s="7" t="s">
        <v>1259</v>
      </c>
      <c r="D588" s="7" t="s">
        <v>1103</v>
      </c>
      <c r="E588" s="3" t="str">
        <f>HYPERLINK("https://www.pchmayoreo.com/index.php/catalogsearch/result/?q=SG-366611-5", "Ir a sitio web")</f>
        <v>Ir a sitio web</v>
      </c>
    </row>
    <row r="589" spans="1:5" s="3" customFormat="1" ht="33" customHeight="1" x14ac:dyDescent="0.35">
      <c r="A589" s="6" t="s">
        <v>1150</v>
      </c>
      <c r="B589" s="7" t="s">
        <v>1151</v>
      </c>
      <c r="C589" s="7" t="s">
        <v>1215</v>
      </c>
      <c r="D589" s="7" t="s">
        <v>1103</v>
      </c>
      <c r="E589" s="3" t="str">
        <f>HYPERLINK("https://www.pchmayoreo.com/index.php/catalogsearch/result/?q=AC-396673-1", "Ir a sitio web")</f>
        <v>Ir a sitio web</v>
      </c>
    </row>
    <row r="590" spans="1:5" s="3" customFormat="1" ht="33" customHeight="1" x14ac:dyDescent="0.35">
      <c r="A590" s="6" t="s">
        <v>1152</v>
      </c>
      <c r="B590" s="7" t="s">
        <v>1153</v>
      </c>
      <c r="C590" s="7" t="s">
        <v>1297</v>
      </c>
      <c r="D590" s="7" t="s">
        <v>1103</v>
      </c>
      <c r="E590" s="3" t="str">
        <f>HYPERLINK("https://www.pchmayoreo.com/index.php/catalogsearch/result/?q=SD-516683-3", "Ir a sitio web")</f>
        <v>Ir a sitio web</v>
      </c>
    </row>
    <row r="591" spans="1:5" s="3" customFormat="1" ht="33" customHeight="1" x14ac:dyDescent="0.35">
      <c r="A591" s="6" t="s">
        <v>1154</v>
      </c>
      <c r="B591" s="7" t="s">
        <v>1155</v>
      </c>
      <c r="C591" s="7" t="s">
        <v>1232</v>
      </c>
      <c r="D591" s="7" t="s">
        <v>1299</v>
      </c>
      <c r="E591" s="3" t="str">
        <f>HYPERLINK("https://www.pchmayoreo.com/index.php/catalogsearch/result/?q=AU-376974-1", "Ir a sitio web")</f>
        <v>Ir a sitio web</v>
      </c>
    </row>
    <row r="592" spans="1:5" s="3" customFormat="1" ht="33" customHeight="1" x14ac:dyDescent="0.35">
      <c r="A592" s="6" t="s">
        <v>1156</v>
      </c>
      <c r="B592" s="7" t="s">
        <v>1157</v>
      </c>
      <c r="C592" s="7" t="s">
        <v>1215</v>
      </c>
      <c r="D592" s="7" t="s">
        <v>1299</v>
      </c>
      <c r="E592" s="3" t="str">
        <f>HYPERLINK("https://www.pchmayoreo.com/index.php/catalogsearch/result/?q=AC-396911-2", "Ir a sitio web")</f>
        <v>Ir a sitio web</v>
      </c>
    </row>
    <row r="593" spans="1:5" s="3" customFormat="1" ht="33" customHeight="1" x14ac:dyDescent="0.35">
      <c r="A593" s="6" t="s">
        <v>1158</v>
      </c>
      <c r="B593" s="7" t="s">
        <v>1159</v>
      </c>
      <c r="C593" s="7" t="s">
        <v>1215</v>
      </c>
      <c r="D593" s="7" t="s">
        <v>1299</v>
      </c>
      <c r="E593" s="3" t="str">
        <f>HYPERLINK("https://www.pchmayoreo.com/index.php/catalogsearch/result/?q=AC-416973-2", "Ir a sitio web")</f>
        <v>Ir a sitio web</v>
      </c>
    </row>
    <row r="594" spans="1:5" s="3" customFormat="1" ht="33" customHeight="1" x14ac:dyDescent="0.35">
      <c r="A594" s="6" t="s">
        <v>1160</v>
      </c>
      <c r="B594" s="7" t="s">
        <v>1161</v>
      </c>
      <c r="C594" s="7" t="s">
        <v>1215</v>
      </c>
      <c r="D594" s="7" t="s">
        <v>1299</v>
      </c>
      <c r="E594" s="3" t="str">
        <f>HYPERLINK("https://www.pchmayoreo.com/index.php/catalogsearch/result/?q=AC-396911-1", "Ir a sitio web")</f>
        <v>Ir a sitio web</v>
      </c>
    </row>
    <row r="595" spans="1:5" s="3" customFormat="1" ht="33" customHeight="1" x14ac:dyDescent="0.35">
      <c r="A595" s="6" t="s">
        <v>1162</v>
      </c>
      <c r="B595" s="7" t="s">
        <v>1163</v>
      </c>
      <c r="C595" s="7" t="s">
        <v>1215</v>
      </c>
      <c r="D595" s="7" t="s">
        <v>1299</v>
      </c>
      <c r="E595" s="3" t="str">
        <f>HYPERLINK("https://www.pchmayoreo.com/index.php/catalogsearch/result/?q=AC-416974-1", "Ir a sitio web")</f>
        <v>Ir a sitio web</v>
      </c>
    </row>
    <row r="596" spans="1:5" s="3" customFormat="1" ht="33" customHeight="1" x14ac:dyDescent="0.35">
      <c r="A596" s="6" t="s">
        <v>1164</v>
      </c>
      <c r="B596" s="7" t="s">
        <v>1165</v>
      </c>
      <c r="C596" s="7" t="s">
        <v>1256</v>
      </c>
      <c r="D596" s="7" t="s">
        <v>1299</v>
      </c>
      <c r="E596" s="3" t="str">
        <f>HYPERLINK("https://www.pchmayoreo.com/index.php/catalogsearch/result/?q=EN-366911-2", "Ir a sitio web")</f>
        <v>Ir a sitio web</v>
      </c>
    </row>
    <row r="597" spans="1:5" s="3" customFormat="1" ht="33" customHeight="1" x14ac:dyDescent="0.35">
      <c r="A597" s="6" t="s">
        <v>1166</v>
      </c>
      <c r="B597" s="7" t="s">
        <v>1167</v>
      </c>
      <c r="C597" s="7" t="s">
        <v>1256</v>
      </c>
      <c r="D597" s="7" t="s">
        <v>1299</v>
      </c>
      <c r="E597" s="3" t="str">
        <f>HYPERLINK("https://www.pchmayoreo.com/index.php/catalogsearch/result/?q=EN-366911-4", "Ir a sitio web")</f>
        <v>Ir a sitio web</v>
      </c>
    </row>
    <row r="598" spans="1:5" s="3" customFormat="1" ht="33" customHeight="1" x14ac:dyDescent="0.35">
      <c r="A598" s="6" t="s">
        <v>1168</v>
      </c>
      <c r="B598" s="7" t="s">
        <v>1169</v>
      </c>
      <c r="C598" s="7" t="s">
        <v>1215</v>
      </c>
      <c r="D598" s="7" t="s">
        <v>1299</v>
      </c>
      <c r="E598" s="3" t="str">
        <f>HYPERLINK("https://www.pchmayoreo.com/index.php/catalogsearch/result/?q=AC-416973-5", "Ir a sitio web")</f>
        <v>Ir a sitio web</v>
      </c>
    </row>
    <row r="599" spans="1:5" s="3" customFormat="1" ht="33" customHeight="1" x14ac:dyDescent="0.35">
      <c r="A599" s="6" t="s">
        <v>1170</v>
      </c>
      <c r="B599" s="7" t="s">
        <v>1171</v>
      </c>
      <c r="C599" s="7" t="s">
        <v>1256</v>
      </c>
      <c r="D599" s="7" t="s">
        <v>1299</v>
      </c>
      <c r="E599" s="3" t="str">
        <f>HYPERLINK("https://www.pchmayoreo.com/index.php/catalogsearch/result/?q=EN-366911-1", "Ir a sitio web")</f>
        <v>Ir a sitio web</v>
      </c>
    </row>
    <row r="600" spans="1:5" s="3" customFormat="1" ht="33" customHeight="1" x14ac:dyDescent="0.35">
      <c r="A600" s="6" t="s">
        <v>1172</v>
      </c>
      <c r="B600" s="7" t="s">
        <v>1173</v>
      </c>
      <c r="C600" s="7" t="s">
        <v>1256</v>
      </c>
      <c r="D600" s="7" t="s">
        <v>1299</v>
      </c>
      <c r="E600" s="3" t="str">
        <f>HYPERLINK("https://www.pchmayoreo.com/index.php/catalogsearch/result/?q=EN-366911-3", "Ir a sitio web")</f>
        <v>Ir a sitio web</v>
      </c>
    </row>
    <row r="601" spans="1:5" s="3" customFormat="1" ht="33" customHeight="1" x14ac:dyDescent="0.35">
      <c r="A601" s="6" t="s">
        <v>1174</v>
      </c>
      <c r="B601" s="7" t="s">
        <v>1175</v>
      </c>
      <c r="C601" s="7" t="s">
        <v>1215</v>
      </c>
      <c r="D601" s="7" t="s">
        <v>1299</v>
      </c>
      <c r="E601" s="3" t="str">
        <f>HYPERLINK("https://www.pchmayoreo.com/index.php/catalogsearch/result/?q=AC-416973-4", "Ir a sitio web")</f>
        <v>Ir a sitio web</v>
      </c>
    </row>
    <row r="602" spans="1:5" s="3" customFormat="1" ht="33" customHeight="1" x14ac:dyDescent="0.35">
      <c r="A602" s="6" t="s">
        <v>1176</v>
      </c>
      <c r="B602" s="7" t="s">
        <v>1177</v>
      </c>
      <c r="C602" s="7" t="s">
        <v>1215</v>
      </c>
      <c r="D602" s="7" t="s">
        <v>1299</v>
      </c>
      <c r="E602" s="3" t="str">
        <f>HYPERLINK("https://www.pchmayoreo.com/index.php/catalogsearch/result/?q=AC-416973-6", "Ir a sitio web")</f>
        <v>Ir a sitio web</v>
      </c>
    </row>
    <row r="603" spans="1:5" s="3" customFormat="1" ht="33" customHeight="1" x14ac:dyDescent="0.35">
      <c r="A603" s="6" t="s">
        <v>1178</v>
      </c>
      <c r="B603" s="7" t="s">
        <v>1179</v>
      </c>
      <c r="C603" s="7" t="s">
        <v>1215</v>
      </c>
      <c r="D603" s="7" t="s">
        <v>1299</v>
      </c>
      <c r="E603" s="3" t="str">
        <f>HYPERLINK("https://www.pchmayoreo.com/index.php/catalogsearch/result/?q=AC-396610-1", "Ir a sitio web")</f>
        <v>Ir a sitio web</v>
      </c>
    </row>
    <row r="604" spans="1:5" s="3" customFormat="1" ht="33" customHeight="1" x14ac:dyDescent="0.35">
      <c r="A604" s="6" t="s">
        <v>1180</v>
      </c>
      <c r="B604" s="7" t="s">
        <v>1181</v>
      </c>
      <c r="C604" s="7" t="s">
        <v>1215</v>
      </c>
      <c r="D604" s="7" t="s">
        <v>1299</v>
      </c>
      <c r="E604" s="3" t="str">
        <f>HYPERLINK("https://www.pchmayoreo.com/index.php/catalogsearch/result/?q=AC-396910-3", "Ir a sitio web")</f>
        <v>Ir a sitio web</v>
      </c>
    </row>
    <row r="605" spans="1:5" s="3" customFormat="1" ht="33" customHeight="1" x14ac:dyDescent="0.35">
      <c r="A605" s="6" t="s">
        <v>1182</v>
      </c>
      <c r="B605" s="7" t="s">
        <v>1183</v>
      </c>
      <c r="C605" s="7" t="s">
        <v>1215</v>
      </c>
      <c r="D605" s="7" t="s">
        <v>1299</v>
      </c>
      <c r="E605" s="3" t="str">
        <f>HYPERLINK("https://www.pchmayoreo.com/index.php/catalogsearch/result/?q=AC-416973-3", "Ir a sitio web")</f>
        <v>Ir a sitio web</v>
      </c>
    </row>
    <row r="606" spans="1:5" s="3" customFormat="1" ht="33" customHeight="1" x14ac:dyDescent="0.35">
      <c r="A606" s="6" t="s">
        <v>1184</v>
      </c>
      <c r="B606" s="7" t="s">
        <v>1185</v>
      </c>
      <c r="C606" s="7" t="s">
        <v>1276</v>
      </c>
      <c r="D606" s="7" t="s">
        <v>1299</v>
      </c>
      <c r="E606" s="3" t="str">
        <f>HYPERLINK("https://www.pchmayoreo.com/index.php/catalogsearch/result/?q=MO-536979-1", "Ir a sitio web")</f>
        <v>Ir a sitio web</v>
      </c>
    </row>
    <row r="607" spans="1:5" s="3" customFormat="1" ht="33" customHeight="1" x14ac:dyDescent="0.35">
      <c r="A607" s="6" t="s">
        <v>1186</v>
      </c>
      <c r="B607" s="7" t="s">
        <v>1187</v>
      </c>
      <c r="C607" s="7" t="s">
        <v>1232</v>
      </c>
      <c r="D607" s="7" t="s">
        <v>1299</v>
      </c>
      <c r="E607" s="3" t="str">
        <f>HYPERLINK("https://www.pchmayoreo.com/index.php/catalogsearch/result/?q=AU-366971-1", "Ir a sitio web")</f>
        <v>Ir a sitio web</v>
      </c>
    </row>
    <row r="608" spans="1:5" s="3" customFormat="1" ht="33" customHeight="1" x14ac:dyDescent="0.35">
      <c r="A608" s="6" t="s">
        <v>1188</v>
      </c>
      <c r="B608" s="7" t="s">
        <v>1189</v>
      </c>
      <c r="C608" s="7" t="s">
        <v>1300</v>
      </c>
      <c r="D608" s="7" t="s">
        <v>1301</v>
      </c>
      <c r="E608" s="3" t="str">
        <f>HYPERLINK("https://www.pchmayoreo.com/index.php/catalogsearch/result/?q=SO-696270-5", "Ir a sitio web")</f>
        <v>Ir a sitio web</v>
      </c>
    </row>
    <row r="609" spans="1:5" s="3" customFormat="1" ht="33" customHeight="1" x14ac:dyDescent="0.35">
      <c r="A609" s="6" t="s">
        <v>1190</v>
      </c>
      <c r="B609" s="7" t="s">
        <v>1191</v>
      </c>
      <c r="C609" s="7" t="s">
        <v>1300</v>
      </c>
      <c r="D609" s="7" t="s">
        <v>1301</v>
      </c>
      <c r="E609" s="3" t="str">
        <f>HYPERLINK("https://www.pchmayoreo.com/index.php/catalogsearch/result/?q=SO-476294-50", "Ir a sitio web")</f>
        <v>Ir a sitio web</v>
      </c>
    </row>
    <row r="610" spans="1:5" s="3" customFormat="1" ht="33" customHeight="1" x14ac:dyDescent="0.35">
      <c r="A610" s="6" t="s">
        <v>1192</v>
      </c>
      <c r="B610" s="7" t="s">
        <v>1193</v>
      </c>
      <c r="C610" s="7" t="s">
        <v>1300</v>
      </c>
      <c r="D610" s="7" t="s">
        <v>1301</v>
      </c>
      <c r="E610" s="3" t="str">
        <f>HYPERLINK("https://www.pchmayoreo.com/index.php/catalogsearch/result/?q=SO-656294-7", "Ir a sitio web")</f>
        <v>Ir a sitio web</v>
      </c>
    </row>
    <row r="611" spans="1:5" s="3" customFormat="1" ht="33" customHeight="1" x14ac:dyDescent="0.35">
      <c r="A611" s="6" t="s">
        <v>1194</v>
      </c>
      <c r="B611" s="7" t="s">
        <v>1195</v>
      </c>
      <c r="C611" s="7" t="s">
        <v>1300</v>
      </c>
      <c r="D611" s="7" t="s">
        <v>1302</v>
      </c>
      <c r="E611" s="3" t="str">
        <f>HYPERLINK("https://www.pchmayoreo.com/index.php/catalogsearch/result/?q=SO-354394-1", "Ir a sitio web")</f>
        <v>Ir a sitio web</v>
      </c>
    </row>
    <row r="612" spans="1:5" s="3" customFormat="1" ht="33" customHeight="1" x14ac:dyDescent="0.35">
      <c r="A612" s="6" t="s">
        <v>1196</v>
      </c>
      <c r="B612" s="7" t="s">
        <v>1197</v>
      </c>
      <c r="C612" s="7" t="s">
        <v>1300</v>
      </c>
      <c r="D612" s="7" t="s">
        <v>1302</v>
      </c>
      <c r="E612" s="3" t="str">
        <f>HYPERLINK("https://www.pchmayoreo.com/index.php/catalogsearch/result/?q=SO-11027121-5", "Ir a sitio web")</f>
        <v>Ir a sitio web</v>
      </c>
    </row>
    <row r="613" spans="1:5" s="3" customFormat="1" ht="33" customHeight="1" x14ac:dyDescent="0.35">
      <c r="A613" s="6" t="s">
        <v>1198</v>
      </c>
      <c r="B613" s="7" t="s">
        <v>1199</v>
      </c>
      <c r="C613" s="7" t="s">
        <v>1300</v>
      </c>
      <c r="D613" s="7" t="s">
        <v>1303</v>
      </c>
      <c r="E613" s="3" t="str">
        <f>HYPERLINK("https://www.pchmayoreo.com/index.php/catalogsearch/result/?q=SO-356014-17", "Ir a sitio web")</f>
        <v>Ir a sitio web</v>
      </c>
    </row>
    <row r="614" spans="1:5" s="3" customFormat="1" ht="33" customHeight="1" x14ac:dyDescent="0.35">
      <c r="A614" s="6" t="s">
        <v>1200</v>
      </c>
      <c r="B614" s="7" t="s">
        <v>1201</v>
      </c>
      <c r="C614" s="7" t="s">
        <v>1300</v>
      </c>
      <c r="D614" s="7" t="s">
        <v>1303</v>
      </c>
      <c r="E614" s="3" t="str">
        <f>HYPERLINK("https://www.pchmayoreo.com/index.php/catalogsearch/result/?q=SO-356014-15", "Ir a sitio web")</f>
        <v>Ir a sitio web</v>
      </c>
    </row>
    <row r="615" spans="1:5" s="3" customFormat="1" ht="33" customHeight="1" x14ac:dyDescent="0.35">
      <c r="A615" s="6" t="s">
        <v>1202</v>
      </c>
      <c r="B615" s="7" t="s">
        <v>1203</v>
      </c>
      <c r="C615" s="7" t="s">
        <v>1300</v>
      </c>
      <c r="D615" s="7" t="s">
        <v>1303</v>
      </c>
      <c r="E615" s="3" t="str">
        <f>HYPERLINK("https://www.pchmayoreo.com/index.php/catalogsearch/result/?q=SO-356014-6", "Ir a sitio web")</f>
        <v>Ir a sitio web</v>
      </c>
    </row>
    <row r="616" spans="1:5" s="3" customFormat="1" ht="33" customHeight="1" x14ac:dyDescent="0.35">
      <c r="A616" s="6" t="s">
        <v>1204</v>
      </c>
      <c r="B616" s="7" t="s">
        <v>1205</v>
      </c>
      <c r="C616" s="7" t="s">
        <v>1300</v>
      </c>
      <c r="D616" s="7" t="s">
        <v>1303</v>
      </c>
      <c r="E616" s="3" t="str">
        <f>HYPERLINK("https://www.pchmayoreo.com/index.php/catalogsearch/result/?q=SO-356014-21", "Ir a sitio web")</f>
        <v>Ir a sitio web</v>
      </c>
    </row>
    <row r="617" spans="1:5" s="3" customFormat="1" ht="33" customHeight="1" x14ac:dyDescent="0.35">
      <c r="A617" s="6" t="s">
        <v>1206</v>
      </c>
      <c r="B617" s="7" t="s">
        <v>1207</v>
      </c>
      <c r="C617" s="7" t="s">
        <v>1300</v>
      </c>
      <c r="D617" s="7" t="s">
        <v>1304</v>
      </c>
      <c r="E617" s="5" t="str">
        <f>HYPERLINK("https://www.pchmayoreo.com/index.php/catalogsearch/result/?q=SO-354814-87", "Ir a sitio web")</f>
        <v>Ir a sitio web</v>
      </c>
    </row>
    <row r="618" spans="1:5" s="3" customFormat="1" ht="33" customHeight="1" x14ac:dyDescent="0.35">
      <c r="A618" s="6" t="s">
        <v>1208</v>
      </c>
      <c r="B618" s="7" t="s">
        <v>1209</v>
      </c>
      <c r="C618" s="7" t="s">
        <v>1300</v>
      </c>
      <c r="D618" s="7" t="s">
        <v>1304</v>
      </c>
      <c r="E618" s="3" t="str">
        <f>HYPERLINK("https://www.pchmayoreo.com/index.php/catalogsearch/result/?q=SO-354814-93", "Ir a sitio web")</f>
        <v>Ir a sitio web</v>
      </c>
    </row>
    <row r="619" spans="1:5" s="3" customFormat="1" ht="33" customHeight="1" x14ac:dyDescent="0.35">
      <c r="A619" s="6" t="s">
        <v>1210</v>
      </c>
      <c r="B619" s="7" t="s">
        <v>1211</v>
      </c>
      <c r="C619" s="7" t="s">
        <v>1300</v>
      </c>
      <c r="D619" s="7" t="s">
        <v>1305</v>
      </c>
      <c r="E619" s="3" t="str">
        <f>HYPERLINK("https://www.pchmayoreo.com/index.php/catalogsearch/result/?q=SO-353270-6", "Ir a sitio web")</f>
        <v>Ir a sitio web</v>
      </c>
    </row>
  </sheetData>
  <protectedRanges>
    <protectedRange algorithmName="SHA-512" hashValue="/eLP0rNVZExLP1UEqSx5obUwhYpJ1ylEWxJ6xknHadHn/L1xWCRE2eOm4GkU0MwRG7oRTT6pPUXNNV65yLaOMg==" saltValue="LJAtHL8t0f8brvAaXUOX4Q==" spinCount="100000" sqref="E17:K17 A17:D1042363" name="Rango1"/>
  </protectedRanges>
  <conditionalFormatting sqref="A620:A1048576 A17:A148">
    <cfRule type="duplicateValues" dxfId="1" priority="8"/>
  </conditionalFormatting>
  <conditionalFormatting sqref="A149:A619">
    <cfRule type="duplicateValues" dxfId="0" priority="513"/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Blueday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Eduardo Jardon Valdes</dc:creator>
  <cp:lastModifiedBy>Jorge Alejandro Macias Maldonado</cp:lastModifiedBy>
  <dcterms:created xsi:type="dcterms:W3CDTF">2020-07-29T17:52:00Z</dcterms:created>
  <dcterms:modified xsi:type="dcterms:W3CDTF">2020-08-18T21:08:25Z</dcterms:modified>
</cp:coreProperties>
</file>